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390" windowWidth="19305" windowHeight="6225" firstSheet="1" activeTab="1"/>
  </bookViews>
  <sheets>
    <sheet name="Report" sheetId="1" state="hidden" r:id="rId1"/>
    <sheet name="Current Month" sheetId="2" r:id="rId2"/>
    <sheet name="March 2012" sheetId="3" state="hidden" r:id="rId3"/>
    <sheet name="Sheet2" sheetId="4" state="hidden" r:id="rId4"/>
    <sheet name="Sheet3" sheetId="5" state="hidden" r:id="rId5"/>
  </sheets>
  <definedNames>
    <definedName name="NvsASD">"V2012-02-29"</definedName>
    <definedName name="NvsAutoDrillOk">"VN"</definedName>
    <definedName name="NvsElapsedTime">0.000115740738692693</definedName>
    <definedName name="NvsEndTime">40984.4527199074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"%,X,RZT.ACCOUNT.,CZF.."</definedName>
    <definedName name="NvsPanelBusUnit">"VUTHSC"</definedName>
    <definedName name="NvsPanelEffdt">"V1900-01-01"</definedName>
    <definedName name="NvsPanelSetid">"VUTH"</definedName>
    <definedName name="NvsReqBU">"VUTP"</definedName>
    <definedName name="NvsReqBUOnly">"VN"</definedName>
    <definedName name="NvsTransLed">"VN"</definedName>
    <definedName name="NvsTreeASD">"V2012-02-29"</definedName>
    <definedName name="NvsValTbl.ACCOUNT">"GL_ACCOUNT_TBL"</definedName>
    <definedName name="NvsValTbl.BUSINESS_UNIT">"BUS_UNIT_TBL_FS"</definedName>
    <definedName name="NvsValTbl.FUND_CODE">"FUND_ALL_VW"</definedName>
    <definedName name="_xlnm.Print_Area" localSheetId="1">'Current Month'!$A$1:$V$75</definedName>
  </definedNames>
  <calcPr fullCalcOnLoad="1"/>
</workbook>
</file>

<file path=xl/sharedStrings.xml><?xml version="1.0" encoding="utf-8"?>
<sst xmlns="http://schemas.openxmlformats.org/spreadsheetml/2006/main" count="350" uniqueCount="123">
  <si>
    <t>U T Physicians</t>
  </si>
  <si>
    <t>Statement of Revenue and Expense</t>
  </si>
  <si>
    <t>YTD</t>
  </si>
  <si>
    <t>Adjusted</t>
  </si>
  <si>
    <t>Variance</t>
  </si>
  <si>
    <t>Original</t>
  </si>
  <si>
    <t>Actual</t>
  </si>
  <si>
    <t>Budget</t>
  </si>
  <si>
    <t>$</t>
  </si>
  <si>
    <t>%</t>
  </si>
  <si>
    <t>REVENUE</t>
  </si>
  <si>
    <t>62300</t>
  </si>
  <si>
    <t>MSRDP Pro Fee Allocation</t>
  </si>
  <si>
    <t>60140</t>
  </si>
  <si>
    <t>Net Capitation Collections</t>
  </si>
  <si>
    <t>61200 +...</t>
  </si>
  <si>
    <t>Interest Income</t>
  </si>
  <si>
    <t>60180 +...</t>
  </si>
  <si>
    <t>Other Income</t>
  </si>
  <si>
    <t>65100 +...</t>
  </si>
  <si>
    <t>Joint Venture Income (Loss)</t>
  </si>
  <si>
    <t>61205</t>
  </si>
  <si>
    <t>Gain(Loss) on Investments - FMV</t>
  </si>
  <si>
    <t>61234</t>
  </si>
  <si>
    <t>65111</t>
  </si>
  <si>
    <t>Gain on Sale of UT Imaging</t>
  </si>
  <si>
    <t>60500</t>
  </si>
  <si>
    <t>Lease Revenue</t>
  </si>
  <si>
    <t>-</t>
  </si>
  <si>
    <t xml:space="preserve">   Total Revenue</t>
  </si>
  <si>
    <t>OPERATING EXPENSES</t>
  </si>
  <si>
    <t>(80100 ...</t>
  </si>
  <si>
    <t>Salary and Benefits Expense</t>
  </si>
  <si>
    <t>(81100 ...</t>
  </si>
  <si>
    <t>Clinical Operating Expense</t>
  </si>
  <si>
    <t>(80400 ...</t>
  </si>
  <si>
    <t>Administrative Expense</t>
  </si>
  <si>
    <t>(82100 ...</t>
  </si>
  <si>
    <t>Lease and Facility Expense</t>
  </si>
  <si>
    <t>(88600 ...</t>
  </si>
  <si>
    <t>Depreciation Expense</t>
  </si>
  <si>
    <t>85405 -...</t>
  </si>
  <si>
    <t>Interest Expense</t>
  </si>
  <si>
    <t>83901 -...</t>
  </si>
  <si>
    <t>Other Expense</t>
  </si>
  <si>
    <t xml:space="preserve">   Total Expenses</t>
  </si>
  <si>
    <t>NET OPERATING INCOME</t>
  </si>
  <si>
    <t>=</t>
  </si>
  <si>
    <t>02/10/12</t>
  </si>
  <si>
    <t>Total Revenues</t>
  </si>
  <si>
    <t>Less: Loan Earn Out</t>
  </si>
  <si>
    <t>Total Revenues Reported on SoO/BP Reports</t>
  </si>
  <si>
    <t>Total Expenses</t>
  </si>
  <si>
    <t>Less Depreciation</t>
  </si>
  <si>
    <t>Add Capital Outlay(per Balance Sheet)</t>
  </si>
  <si>
    <t>Total Expenses Reported on SoO/BP Reports</t>
  </si>
  <si>
    <t>Plus: Loan Earnout (separate line item not included in operating revenue)</t>
  </si>
  <si>
    <t>Net Income(Loss)</t>
  </si>
  <si>
    <t>Revenue</t>
  </si>
  <si>
    <t>For the Six Months Ending February 29, 2012</t>
  </si>
  <si>
    <t>February</t>
  </si>
  <si>
    <t>41576</t>
  </si>
  <si>
    <t>Gift Revenue</t>
  </si>
  <si>
    <t>needs adjusting in FMS</t>
  </si>
  <si>
    <t>Capital Asset Proceeds</t>
  </si>
  <si>
    <t>Note:</t>
  </si>
  <si>
    <t>Total MTD revenues reflect adjustment of $39,759.00 which reflect an overstatement of revenues in the month of October.</t>
  </si>
  <si>
    <t>Regarding the sale of Capital Equipment (acct# 41602)….Ref. JE#</t>
  </si>
  <si>
    <t>Medical Records Fees</t>
  </si>
  <si>
    <t>40836+40838</t>
  </si>
  <si>
    <t>Market Adjustments</t>
  </si>
  <si>
    <t>UTP Prepd Misc Inc-Contra PPD</t>
  </si>
  <si>
    <t>Other Contractual Earnings</t>
  </si>
  <si>
    <t>Medical/Legal Consult</t>
  </si>
  <si>
    <t>Miscellaneous Revenue</t>
  </si>
  <si>
    <t>Gain/Loss on Sale of Capital Equipment</t>
  </si>
  <si>
    <t>Sept-11</t>
  </si>
  <si>
    <t>Oct-11</t>
  </si>
  <si>
    <t>Nov-11</t>
  </si>
  <si>
    <t>Dec-11</t>
  </si>
  <si>
    <t>Jan-12</t>
  </si>
  <si>
    <t>For the Seven Months Ending March 31, 2012</t>
  </si>
  <si>
    <t>March</t>
  </si>
  <si>
    <t>Less: Gain on Sale of Capital Equipment</t>
  </si>
  <si>
    <r>
      <t>Total Revenues Reported on SoO/BP Reports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</si>
  <si>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color indexed="63"/>
        <rFont val="Arial"/>
        <family val="2"/>
      </rPr>
      <t>Of the total revenues, $2,562,000 is MHH loan earn out.</t>
    </r>
  </si>
  <si>
    <t>Adjusted Budget</t>
  </si>
  <si>
    <t>AM Capital Asset Proceeds</t>
  </si>
  <si>
    <t>Expenses</t>
  </si>
  <si>
    <t>Net Income</t>
  </si>
  <si>
    <t>Less Capital Outlay</t>
  </si>
  <si>
    <t>Add Depreciation</t>
  </si>
  <si>
    <t>Total Expenses with Depreciation and Excluding Capital Outlay</t>
  </si>
  <si>
    <t xml:space="preserve"> </t>
  </si>
  <si>
    <t>FYTD</t>
  </si>
  <si>
    <t>This report has been manually adjusted to correctly state financials through February 28, 2013. On March 14th, it was discovered that payroll expenditures had been understated by $1,317,725. A JE upload was inadvertently reversed in the month of January. As a result, the Salary and Benefit line on this report has been manually increased by $3,317,725. Additionally, the MSRDP Prof. Fee line has also been adjusted by $621,216 to recoup the material salary and benefit amounts from the clinical departments.</t>
  </si>
  <si>
    <t>Net Income (Loss)</t>
  </si>
  <si>
    <t>Investment Income</t>
  </si>
  <si>
    <t>Delivery System Reform Incentives</t>
  </si>
  <si>
    <t>41850/41851/41852</t>
  </si>
  <si>
    <t>Network Access Improvement Programs</t>
  </si>
  <si>
    <t>UTP Payroll/Benefits</t>
  </si>
  <si>
    <t>Travel</t>
  </si>
  <si>
    <t>Capital Expenditures</t>
  </si>
  <si>
    <t>Utilities</t>
  </si>
  <si>
    <t>Maintenance &amp; Operations</t>
  </si>
  <si>
    <t>41043/40836/40838/41600</t>
  </si>
  <si>
    <t>40727/40830/41025/41087/41016/41576</t>
  </si>
  <si>
    <t>Include: Gain/Loss on Net Asset Proceeds</t>
  </si>
  <si>
    <t>Sept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</si>
  <si>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</si>
  <si>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</si>
  <si>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</si>
  <si>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</si>
  <si>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</si>
  <si>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</si>
  <si>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</si>
  <si>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</si>
  <si>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June 2017</t>
  </si>
  <si>
    <t>July 2017</t>
  </si>
  <si>
    <t>Aug 2017</t>
  </si>
  <si>
    <t>For the Four Months Ending December 31, 2016</t>
  </si>
  <si>
    <t>December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</si>
</sst>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\ #,##0.00\ \);_(* &quot;-&quot;??_);_(\ @_ \)"/>
    <numFmt numFmtId="165" formatCode="#,##0.00%;\(#,##0.00%\)"/>
    <numFmt numFmtId="166" formatCode="&quot;$&quot;#,###,##0;\(&quot;$&quot;#,###,##0\)"/>
    <numFmt numFmtId="167" formatCode="#,###,##0;\(#,###,##0\)"/>
    <numFmt numFmtId="168" formatCode="#,##0%;\(#,##0%\)"/>
    <numFmt numFmtId="169" formatCode="_(* #,##0_);_(* \(#,##0\);_(* &quot;-&quot;??_);_(@_)"/>
    <numFmt numFmtId="170" formatCode="#,###,##0;[Red]\(#,###,##0\)"/>
    <numFmt numFmtId="171" formatCode="#,###,##0.00;\(#,###,##0.00\)"/>
    <numFmt numFmtId="172" formatCode="&quot;$&quot;#,###,##0.00;\(&quot;$&quot;#,###,##0.00\)"/>
    <numFmt numFmtId="173" formatCode="&quot;$&quot;#,##0.0_);\(&quot;$&quot;#,##0.0\)"/>
  </numFmts>
  <fonts count="58">
    <font>
      <sz val="10"/>
      <color indexed="63"/>
      <name val="Arial"/>
      <family val="0"/>
    </font>
    <font>
      <sz val="11"/>
      <color indexed="63"/>
      <name val="Calibri"/>
      <family val="2"/>
    </font>
    <font>
      <sz val="10"/>
      <name val="Segoe UI"/>
      <family val="2"/>
    </font>
    <font>
      <b/>
      <sz val="14"/>
      <color indexed="63"/>
      <name val="Arial"/>
      <family val="2"/>
    </font>
    <font>
      <b/>
      <i/>
      <sz val="10"/>
      <color indexed="63"/>
      <name val="Arial"/>
      <family val="2"/>
    </font>
    <font>
      <sz val="8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b/>
      <i/>
      <sz val="12"/>
      <color indexed="12"/>
      <name val="Arial"/>
      <family val="2"/>
    </font>
    <font>
      <sz val="12"/>
      <color indexed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>
        <color indexed="63"/>
      </top>
      <bottom style="thin"/>
    </border>
  </borders>
  <cellStyleXfs count="2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0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0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40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4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4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40" fillId="2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40" fillId="21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4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4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41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41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1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41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1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41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41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41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41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41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1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42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3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44" fillId="47" borderId="3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24" fillId="0" borderId="0" applyFont="0" applyFill="0" applyBorder="0" applyAlignment="0">
      <protection/>
    </xf>
    <xf numFmtId="43" fontId="10" fillId="0" borderId="0" applyFont="0" applyFill="0" applyBorder="0" applyAlignment="0" applyProtection="0"/>
    <xf numFmtId="40" fontId="24" fillId="0" borderId="0" applyFont="0" applyFill="0" applyBorder="0" applyAlignment="0">
      <protection/>
    </xf>
    <xf numFmtId="40" fontId="24" fillId="0" borderId="0" applyFont="0" applyFill="0" applyBorder="0" applyAlignment="0">
      <protection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4" fillId="0" borderId="0" applyFont="0" applyFill="0" applyBorder="0" applyAlignment="0">
      <protection/>
    </xf>
    <xf numFmtId="40" fontId="24" fillId="0" borderId="0" applyFont="0" applyFill="0" applyBorder="0" applyAlignment="0">
      <protection/>
    </xf>
    <xf numFmtId="40" fontId="24" fillId="0" borderId="0" applyFont="0" applyFill="0" applyBorder="0" applyAlignment="0">
      <protection/>
    </xf>
    <xf numFmtId="40" fontId="24" fillId="0" borderId="0" applyFont="0" applyFill="0" applyBorder="0" applyAlignment="0">
      <protection/>
    </xf>
    <xf numFmtId="40" fontId="24" fillId="0" borderId="0" applyFont="0" applyFill="0" applyBorder="0" applyAlignment="0">
      <protection/>
    </xf>
    <xf numFmtId="40" fontId="24" fillId="0" borderId="0" applyFont="0" applyFill="0" applyBorder="0" applyAlignment="0">
      <protection/>
    </xf>
    <xf numFmtId="40" fontId="24" fillId="0" borderId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7" fontId="0" fillId="0" borderId="0">
      <alignment/>
      <protection/>
    </xf>
    <xf numFmtId="171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71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71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72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46" fillId="4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7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8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49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50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51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52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40" fontId="24" fillId="0" borderId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40" fontId="24" fillId="0" borderId="0" applyFont="0" applyFill="0" applyBorder="0" applyAlignment="0">
      <protection/>
    </xf>
    <xf numFmtId="40" fontId="24" fillId="0" borderId="0" applyFont="0" applyFill="0" applyBorder="0" applyAlignment="0"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0" fontId="24" fillId="0" borderId="0" applyFont="0" applyFill="0" applyBorder="0" applyAlignment="0">
      <protection/>
    </xf>
    <xf numFmtId="40" fontId="24" fillId="0" borderId="0" applyFont="0" applyFill="0" applyBorder="0" applyAlignment="0">
      <protection/>
    </xf>
    <xf numFmtId="0" fontId="0" fillId="53" borderId="13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24" fillId="54" borderId="14" applyNumberFormat="0" applyFont="0" applyAlignment="0" applyProtection="0"/>
    <xf numFmtId="0" fontId="53" fillId="45" borderId="15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55" borderId="0">
      <alignment/>
      <protection/>
    </xf>
    <xf numFmtId="0" fontId="0" fillId="55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55" borderId="0">
      <alignment/>
      <protection/>
    </xf>
    <xf numFmtId="0" fontId="9" fillId="55" borderId="0">
      <alignment/>
      <protection/>
    </xf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167" fontId="0" fillId="0" borderId="0" xfId="141">
      <alignment/>
      <protection/>
    </xf>
    <xf numFmtId="165" fontId="0" fillId="0" borderId="0" xfId="152">
      <alignment/>
      <protection/>
    </xf>
    <xf numFmtId="165" fontId="0" fillId="55" borderId="0" xfId="152" applyFill="1">
      <alignment/>
      <protection/>
    </xf>
    <xf numFmtId="49" fontId="9" fillId="55" borderId="0" xfId="141" applyNumberFormat="1" applyFont="1" applyFill="1" applyAlignment="1">
      <alignment horizontal="centerContinuous"/>
      <protection/>
    </xf>
    <xf numFmtId="167" fontId="9" fillId="55" borderId="0" xfId="141" applyFont="1" applyFill="1" applyAlignment="1">
      <alignment horizontal="centerContinuous"/>
      <protection/>
    </xf>
    <xf numFmtId="165" fontId="9" fillId="55" borderId="0" xfId="152" applyFont="1" applyFill="1" applyAlignment="1">
      <alignment horizontal="centerContinuous"/>
      <protection/>
    </xf>
    <xf numFmtId="49" fontId="4" fillId="0" borderId="19" xfId="141" applyNumberFormat="1" applyFont="1" applyBorder="1" applyAlignment="1">
      <alignment horizontal="center"/>
      <protection/>
    </xf>
    <xf numFmtId="49" fontId="4" fillId="0" borderId="0" xfId="141" applyNumberFormat="1" applyFont="1" applyAlignment="1">
      <alignment horizontal="right"/>
      <protection/>
    </xf>
    <xf numFmtId="49" fontId="4" fillId="0" borderId="19" xfId="141" applyNumberFormat="1" applyFont="1" applyBorder="1" applyAlignment="1">
      <alignment horizontal="centerContinuous"/>
      <protection/>
    </xf>
    <xf numFmtId="165" fontId="4" fillId="0" borderId="19" xfId="152" applyFont="1" applyBorder="1" applyAlignment="1">
      <alignment horizontal="centerContinuous"/>
      <protection/>
    </xf>
    <xf numFmtId="49" fontId="4" fillId="0" borderId="19" xfId="141" applyNumberFormat="1" applyFont="1" applyBorder="1" applyAlignment="1">
      <alignment horizontal="right"/>
      <protection/>
    </xf>
    <xf numFmtId="49" fontId="4" fillId="0" borderId="19" xfId="152" applyNumberFormat="1" applyFont="1" applyBorder="1" applyAlignment="1">
      <alignment horizontal="righ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6" fillId="0" borderId="0" xfId="141" applyFont="1">
      <alignment/>
      <protection/>
    </xf>
    <xf numFmtId="166" fontId="6" fillId="0" borderId="0" xfId="141" applyNumberFormat="1" applyFont="1">
      <alignment/>
      <protection/>
    </xf>
    <xf numFmtId="49" fontId="6" fillId="0" borderId="0" xfId="141" applyNumberFormat="1" applyFont="1" applyAlignment="1">
      <alignment horizontal="fill"/>
      <protection/>
    </xf>
    <xf numFmtId="168" fontId="0" fillId="55" borderId="0" xfId="152" applyNumberFormat="1" applyFill="1">
      <alignment/>
      <protection/>
    </xf>
    <xf numFmtId="49" fontId="0" fillId="55" borderId="0" xfId="152" applyNumberFormat="1" applyFill="1" applyAlignment="1">
      <alignment horizontal="fill"/>
      <protection/>
    </xf>
    <xf numFmtId="168" fontId="0" fillId="55" borderId="0" xfId="152" applyNumberFormat="1" applyFont="1" applyFill="1">
      <alignment/>
      <protection/>
    </xf>
    <xf numFmtId="165" fontId="0" fillId="55" borderId="0" xfId="152" applyFont="1" applyFill="1">
      <alignment/>
      <protection/>
    </xf>
    <xf numFmtId="49" fontId="6" fillId="0" borderId="0" xfId="141" applyNumberFormat="1" applyFont="1" applyAlignment="1">
      <alignment horizontal="right"/>
      <protection/>
    </xf>
    <xf numFmtId="0" fontId="11" fillId="52" borderId="0" xfId="0" applyFont="1" applyFill="1" applyBorder="1" applyAlignment="1" quotePrefix="1">
      <alignment horizontal="left" vertical="top" wrapText="1"/>
    </xf>
    <xf numFmtId="0" fontId="0" fillId="52" borderId="20" xfId="0" applyFill="1" applyBorder="1" applyAlignment="1">
      <alignment/>
    </xf>
    <xf numFmtId="0" fontId="0" fillId="52" borderId="21" xfId="0" applyFill="1" applyBorder="1" applyAlignment="1">
      <alignment/>
    </xf>
    <xf numFmtId="169" fontId="0" fillId="52" borderId="21" xfId="122" applyNumberFormat="1" applyFont="1" applyFill="1" applyBorder="1" applyAlignment="1">
      <alignment/>
    </xf>
    <xf numFmtId="169" fontId="0" fillId="52" borderId="22" xfId="122" applyNumberFormat="1" applyFont="1" applyFill="1" applyBorder="1" applyAlignment="1">
      <alignment/>
    </xf>
    <xf numFmtId="0" fontId="11" fillId="52" borderId="23" xfId="0" applyFont="1" applyFill="1" applyBorder="1" applyAlignment="1" quotePrefix="1">
      <alignment/>
    </xf>
    <xf numFmtId="0" fontId="11" fillId="52" borderId="0" xfId="0" applyFont="1" applyFill="1" applyBorder="1" applyAlignment="1" quotePrefix="1">
      <alignment/>
    </xf>
    <xf numFmtId="169" fontId="0" fillId="52" borderId="0" xfId="122" applyNumberFormat="1" applyFont="1" applyFill="1" applyBorder="1" applyAlignment="1">
      <alignment/>
    </xf>
    <xf numFmtId="0" fontId="0" fillId="52" borderId="0" xfId="0" applyFill="1" applyBorder="1" applyAlignment="1">
      <alignment/>
    </xf>
    <xf numFmtId="169" fontId="0" fillId="52" borderId="24" xfId="122" applyNumberFormat="1" applyFont="1" applyFill="1" applyBorder="1" applyAlignment="1">
      <alignment/>
    </xf>
    <xf numFmtId="0" fontId="12" fillId="52" borderId="23" xfId="0" applyFont="1" applyFill="1" applyBorder="1" applyAlignment="1" quotePrefix="1">
      <alignment/>
    </xf>
    <xf numFmtId="0" fontId="12" fillId="52" borderId="0" xfId="0" applyFont="1" applyFill="1" applyBorder="1" applyAlignment="1" quotePrefix="1">
      <alignment/>
    </xf>
    <xf numFmtId="169" fontId="12" fillId="52" borderId="25" xfId="0" applyNumberFormat="1" applyFont="1" applyFill="1" applyBorder="1" applyAlignment="1">
      <alignment/>
    </xf>
    <xf numFmtId="169" fontId="12" fillId="52" borderId="26" xfId="0" applyNumberFormat="1" applyFont="1" applyFill="1" applyBorder="1" applyAlignment="1">
      <alignment/>
    </xf>
    <xf numFmtId="0" fontId="0" fillId="52" borderId="23" xfId="0" applyFill="1" applyBorder="1" applyAlignment="1">
      <alignment/>
    </xf>
    <xf numFmtId="170" fontId="0" fillId="52" borderId="0" xfId="0" applyNumberFormat="1" applyFill="1" applyBorder="1" applyAlignment="1">
      <alignment/>
    </xf>
    <xf numFmtId="0" fontId="0" fillId="52" borderId="24" xfId="0" applyFill="1" applyBorder="1" applyAlignment="1">
      <alignment/>
    </xf>
    <xf numFmtId="170" fontId="0" fillId="52" borderId="24" xfId="0" applyNumberFormat="1" applyFill="1" applyBorder="1" applyAlignment="1">
      <alignment/>
    </xf>
    <xf numFmtId="169" fontId="0" fillId="52" borderId="0" xfId="0" applyNumberFormat="1" applyFill="1" applyBorder="1" applyAlignment="1">
      <alignment/>
    </xf>
    <xf numFmtId="38" fontId="0" fillId="52" borderId="0" xfId="0" applyNumberFormat="1" applyFill="1" applyBorder="1" applyAlignment="1">
      <alignment/>
    </xf>
    <xf numFmtId="170" fontId="12" fillId="52" borderId="25" xfId="0" applyNumberFormat="1" applyFont="1" applyFill="1" applyBorder="1" applyAlignment="1">
      <alignment/>
    </xf>
    <xf numFmtId="170" fontId="12" fillId="52" borderId="26" xfId="0" applyNumberFormat="1" applyFont="1" applyFill="1" applyBorder="1" applyAlignment="1">
      <alignment/>
    </xf>
    <xf numFmtId="169" fontId="12" fillId="52" borderId="27" xfId="0" applyNumberFormat="1" applyFont="1" applyFill="1" applyBorder="1" applyAlignment="1">
      <alignment/>
    </xf>
    <xf numFmtId="169" fontId="12" fillId="52" borderId="28" xfId="0" applyNumberFormat="1" applyFont="1" applyFill="1" applyBorder="1" applyAlignment="1">
      <alignment/>
    </xf>
    <xf numFmtId="0" fontId="0" fillId="52" borderId="29" xfId="0" applyFill="1" applyBorder="1" applyAlignment="1">
      <alignment/>
    </xf>
    <xf numFmtId="0" fontId="0" fillId="52" borderId="30" xfId="0" applyFill="1" applyBorder="1" applyAlignment="1">
      <alignment/>
    </xf>
    <xf numFmtId="0" fontId="0" fillId="52" borderId="31" xfId="0" applyFill="1" applyBorder="1" applyAlignment="1">
      <alignment/>
    </xf>
    <xf numFmtId="0" fontId="0" fillId="0" borderId="0" xfId="0" applyAlignment="1" quotePrefix="1">
      <alignment/>
    </xf>
    <xf numFmtId="166" fontId="6" fillId="56" borderId="0" xfId="141" applyNumberFormat="1" applyFont="1" applyFill="1">
      <alignment/>
      <protection/>
    </xf>
    <xf numFmtId="167" fontId="6" fillId="56" borderId="0" xfId="141" applyFont="1" applyFill="1">
      <alignment/>
      <protection/>
    </xf>
    <xf numFmtId="0" fontId="0" fillId="56" borderId="0" xfId="0" applyFill="1" applyAlignment="1">
      <alignment/>
    </xf>
    <xf numFmtId="167" fontId="6" fillId="56" borderId="0" xfId="143" applyFont="1" applyFill="1">
      <alignment/>
      <protection/>
    </xf>
    <xf numFmtId="166" fontId="6" fillId="56" borderId="0" xfId="141" applyNumberFormat="1" applyFont="1" applyFill="1">
      <alignment/>
      <protection/>
    </xf>
    <xf numFmtId="3" fontId="0" fillId="0" borderId="0" xfId="141" applyNumberFormat="1" applyFont="1" applyAlignment="1">
      <alignment horizontal="fill"/>
      <protection/>
    </xf>
    <xf numFmtId="37" fontId="24" fillId="57" borderId="0" xfId="131" applyNumberFormat="1" applyFont="1" applyFill="1" applyAlignment="1">
      <alignment/>
      <protection/>
    </xf>
    <xf numFmtId="166" fontId="24" fillId="0" borderId="0" xfId="141" applyNumberFormat="1" applyFont="1">
      <alignment/>
      <protection/>
    </xf>
    <xf numFmtId="3" fontId="24" fillId="0" borderId="0" xfId="141" applyNumberFormat="1" applyFont="1">
      <alignment/>
      <protection/>
    </xf>
    <xf numFmtId="49" fontId="24" fillId="55" borderId="0" xfId="152" applyNumberFormat="1" applyFont="1" applyFill="1" applyAlignment="1">
      <alignment horizontal="fill"/>
      <protection/>
    </xf>
    <xf numFmtId="37" fontId="24" fillId="55" borderId="0" xfId="152" applyNumberFormat="1" applyFont="1" applyFill="1" applyAlignment="1">
      <alignment horizontal="fill"/>
      <protection/>
    </xf>
    <xf numFmtId="37" fontId="24" fillId="0" borderId="0" xfId="141" applyNumberFormat="1" applyFont="1" applyAlignment="1">
      <alignment horizontal="fill"/>
      <protection/>
    </xf>
    <xf numFmtId="168" fontId="24" fillId="55" borderId="0" xfId="152" applyNumberFormat="1" applyFont="1" applyFill="1">
      <alignment/>
      <protection/>
    </xf>
    <xf numFmtId="37" fontId="24" fillId="55" borderId="0" xfId="152" applyNumberFormat="1" applyFont="1" applyFill="1">
      <alignment/>
      <protection/>
    </xf>
    <xf numFmtId="37" fontId="24" fillId="0" borderId="0" xfId="141" applyNumberFormat="1" applyFont="1">
      <alignment/>
      <protection/>
    </xf>
    <xf numFmtId="37" fontId="0" fillId="0" borderId="0" xfId="141" applyNumberFormat="1" applyFont="1" applyFill="1">
      <alignment/>
      <protection/>
    </xf>
    <xf numFmtId="37" fontId="31" fillId="0" borderId="0" xfId="0" applyNumberFormat="1" applyFont="1" applyAlignment="1">
      <alignment horizontal="left"/>
    </xf>
    <xf numFmtId="37" fontId="0" fillId="55" borderId="0" xfId="152" applyNumberFormat="1" applyFont="1" applyFill="1" applyAlignment="1">
      <alignment horizontal="fill"/>
      <protection/>
    </xf>
    <xf numFmtId="37" fontId="0" fillId="0" borderId="0" xfId="141" applyNumberFormat="1" applyFont="1" applyAlignment="1">
      <alignment horizontal="fill"/>
      <protection/>
    </xf>
    <xf numFmtId="37" fontId="0" fillId="0" borderId="0" xfId="0" applyNumberFormat="1" applyFont="1" applyAlignment="1">
      <alignment horizontal="left"/>
    </xf>
    <xf numFmtId="37" fontId="24" fillId="0" borderId="0" xfId="131" applyNumberFormat="1" applyFont="1" applyFill="1" applyBorder="1" applyAlignment="1">
      <alignment/>
      <protection/>
    </xf>
    <xf numFmtId="37" fontId="0" fillId="0" borderId="0" xfId="0" applyNumberFormat="1" applyFont="1" applyAlignment="1">
      <alignment/>
    </xf>
    <xf numFmtId="37" fontId="0" fillId="55" borderId="0" xfId="152" applyNumberFormat="1" applyFont="1" applyFill="1">
      <alignment/>
      <protection/>
    </xf>
    <xf numFmtId="37" fontId="0" fillId="0" borderId="0" xfId="141" applyNumberFormat="1" applyFont="1">
      <alignment/>
      <protection/>
    </xf>
    <xf numFmtId="37" fontId="24" fillId="0" borderId="0" xfId="131" applyNumberFormat="1" applyFont="1" applyFill="1" applyAlignment="1">
      <alignment/>
      <protection/>
    </xf>
    <xf numFmtId="16" fontId="0" fillId="0" borderId="0" xfId="0" applyNumberFormat="1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Alignment="1" quotePrefix="1">
      <alignment horizontal="left"/>
    </xf>
    <xf numFmtId="40" fontId="24" fillId="0" borderId="0" xfId="131" applyFont="1" applyAlignment="1">
      <alignment/>
      <protection/>
    </xf>
    <xf numFmtId="0" fontId="0" fillId="0" borderId="0" xfId="0" applyFill="1" applyAlignment="1">
      <alignment/>
    </xf>
    <xf numFmtId="37" fontId="0" fillId="0" borderId="0" xfId="141" applyNumberFormat="1" applyFont="1">
      <alignment/>
      <protection/>
    </xf>
    <xf numFmtId="167" fontId="6" fillId="0" borderId="0" xfId="141" applyFont="1" applyFill="1">
      <alignment/>
      <protection/>
    </xf>
    <xf numFmtId="166" fontId="6" fillId="0" borderId="0" xfId="141" applyNumberFormat="1" applyFont="1" applyFill="1">
      <alignment/>
      <protection/>
    </xf>
    <xf numFmtId="40" fontId="24" fillId="0" borderId="0" xfId="123" applyFont="1" applyFill="1" applyAlignment="1">
      <alignment/>
      <protection/>
    </xf>
    <xf numFmtId="0" fontId="11" fillId="52" borderId="23" xfId="0" applyFont="1" applyFill="1" applyBorder="1" applyAlignment="1">
      <alignment/>
    </xf>
    <xf numFmtId="0" fontId="11" fillId="52" borderId="23" xfId="0" applyFont="1" applyFill="1" applyBorder="1" applyAlignment="1" quotePrefix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5" fontId="11" fillId="52" borderId="0" xfId="0" applyNumberFormat="1" applyFont="1" applyFill="1" applyBorder="1" applyAlignment="1" quotePrefix="1">
      <alignment horizontal="left" vertical="top" wrapText="1"/>
    </xf>
    <xf numFmtId="40" fontId="24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167" fontId="0" fillId="0" borderId="0" xfId="141" applyAlignment="1">
      <alignment vertical="top"/>
      <protection/>
    </xf>
    <xf numFmtId="165" fontId="9" fillId="55" borderId="0" xfId="152" applyFont="1" applyFill="1" applyAlignment="1">
      <alignment horizontal="centerContinuous" vertical="top"/>
      <protection/>
    </xf>
    <xf numFmtId="167" fontId="0" fillId="0" borderId="0" xfId="141" applyFill="1" applyAlignment="1">
      <alignment vertical="top"/>
      <protection/>
    </xf>
    <xf numFmtId="165" fontId="0" fillId="57" borderId="0" xfId="152" applyFill="1" applyAlignment="1">
      <alignment vertical="top"/>
      <protection/>
    </xf>
    <xf numFmtId="16" fontId="0" fillId="0" borderId="0" xfId="0" applyNumberFormat="1" applyFont="1" applyAlignment="1" quotePrefix="1">
      <alignment horizontal="center" vertical="top"/>
    </xf>
    <xf numFmtId="0" fontId="0" fillId="0" borderId="0" xfId="0" applyFont="1" applyAlignment="1" quotePrefix="1">
      <alignment horizontal="center" vertical="top"/>
    </xf>
    <xf numFmtId="49" fontId="4" fillId="0" borderId="19" xfId="141" applyNumberFormat="1" applyFont="1" applyBorder="1" applyAlignment="1">
      <alignment horizontal="center" vertical="top"/>
      <protection/>
    </xf>
    <xf numFmtId="49" fontId="4" fillId="0" borderId="19" xfId="141" applyNumberFormat="1" applyFont="1" applyFill="1" applyBorder="1" applyAlignment="1">
      <alignment horizontal="center" vertical="top"/>
      <protection/>
    </xf>
    <xf numFmtId="165" fontId="0" fillId="57" borderId="19" xfId="152" applyFill="1" applyBorder="1" applyAlignment="1">
      <alignment horizontal="center" vertical="top"/>
      <protection/>
    </xf>
    <xf numFmtId="165" fontId="4" fillId="57" borderId="19" xfId="152" applyFont="1" applyFill="1" applyBorder="1" applyAlignment="1">
      <alignment horizontal="centerContinuous" vertical="top"/>
      <protection/>
    </xf>
    <xf numFmtId="49" fontId="4" fillId="0" borderId="0" xfId="141" applyNumberFormat="1" applyFont="1" applyAlignment="1">
      <alignment horizontal="right" vertical="top"/>
      <protection/>
    </xf>
    <xf numFmtId="167" fontId="6" fillId="0" borderId="0" xfId="141" applyFont="1" applyAlignment="1">
      <alignment vertical="top"/>
      <protection/>
    </xf>
    <xf numFmtId="167" fontId="6" fillId="0" borderId="0" xfId="141" applyFont="1" applyFill="1" applyAlignment="1">
      <alignment vertical="top"/>
      <protection/>
    </xf>
    <xf numFmtId="165" fontId="0" fillId="55" borderId="0" xfId="152" applyFill="1" applyAlignment="1">
      <alignment vertical="top"/>
      <protection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165" fontId="0" fillId="55" borderId="0" xfId="152" applyFont="1" applyFill="1" applyAlignment="1">
      <alignment vertical="top"/>
      <protection/>
    </xf>
    <xf numFmtId="37" fontId="0" fillId="0" borderId="0" xfId="141" applyNumberFormat="1" applyFont="1" applyAlignment="1">
      <alignment vertical="top"/>
      <protection/>
    </xf>
    <xf numFmtId="0" fontId="0" fillId="0" borderId="0" xfId="0" applyAlignment="1">
      <alignment horizontal="left" vertical="top"/>
    </xf>
    <xf numFmtId="5" fontId="0" fillId="0" borderId="0" xfId="141" applyNumberFormat="1" applyFont="1" applyFill="1" applyAlignment="1">
      <alignment vertical="top"/>
      <protection/>
    </xf>
    <xf numFmtId="5" fontId="24" fillId="0" borderId="0" xfId="131" applyNumberFormat="1" applyFont="1" applyFill="1" applyAlignment="1">
      <alignment vertical="top"/>
      <protection/>
    </xf>
    <xf numFmtId="5" fontId="0" fillId="0" borderId="0" xfId="141" applyNumberFormat="1" applyFont="1" applyFill="1" applyAlignment="1">
      <alignment vertical="top"/>
      <protection/>
    </xf>
    <xf numFmtId="37" fontId="0" fillId="0" borderId="0" xfId="141" applyNumberFormat="1" applyFont="1" applyFill="1" applyAlignment="1">
      <alignment vertical="top"/>
      <protection/>
    </xf>
    <xf numFmtId="5" fontId="24" fillId="0" borderId="0" xfId="141" applyNumberFormat="1" applyFont="1" applyFill="1" applyAlignment="1">
      <alignment vertical="top"/>
      <protection/>
    </xf>
    <xf numFmtId="5" fontId="0" fillId="0" borderId="0" xfId="141" applyNumberFormat="1" applyFont="1" applyAlignment="1">
      <alignment vertical="top"/>
      <protection/>
    </xf>
    <xf numFmtId="0" fontId="33" fillId="55" borderId="0" xfId="152" applyNumberFormat="1" applyFont="1" applyFill="1" applyAlignment="1">
      <alignment horizontal="left" vertical="top"/>
      <protection/>
    </xf>
    <xf numFmtId="168" fontId="0" fillId="55" borderId="0" xfId="152" applyNumberFormat="1" applyFill="1" applyAlignment="1">
      <alignment vertical="top"/>
      <protection/>
    </xf>
    <xf numFmtId="166" fontId="6" fillId="0" borderId="0" xfId="141" applyNumberFormat="1" applyFont="1" applyFill="1" applyAlignment="1">
      <alignment vertical="top"/>
      <protection/>
    </xf>
    <xf numFmtId="0" fontId="0" fillId="0" borderId="0" xfId="0" applyFill="1" applyAlignment="1">
      <alignment vertical="top"/>
    </xf>
    <xf numFmtId="5" fontId="0" fillId="0" borderId="0" xfId="0" applyNumberFormat="1" applyFont="1" applyAlignment="1">
      <alignment vertical="top"/>
    </xf>
    <xf numFmtId="5" fontId="0" fillId="55" borderId="0" xfId="152" applyNumberFormat="1" applyFont="1" applyFill="1" applyAlignment="1">
      <alignment vertical="top"/>
      <protection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40" fontId="24" fillId="0" borderId="0" xfId="131" applyFont="1" applyAlignment="1">
      <alignment vertical="top"/>
      <protection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5" fontId="24" fillId="58" borderId="0" xfId="131" applyNumberFormat="1" applyFont="1" applyFill="1" applyAlignment="1">
      <alignment vertical="top"/>
      <protection/>
    </xf>
    <xf numFmtId="5" fontId="0" fillId="0" borderId="0" xfId="141" applyNumberFormat="1" applyFont="1" applyAlignment="1">
      <alignment horizontal="fill" vertical="top"/>
      <protection/>
    </xf>
    <xf numFmtId="5" fontId="0" fillId="0" borderId="0" xfId="141" applyNumberFormat="1" applyFont="1" applyFill="1" applyAlignment="1">
      <alignment horizontal="fill" vertical="top"/>
      <protection/>
    </xf>
    <xf numFmtId="5" fontId="0" fillId="0" borderId="0" xfId="141" applyNumberFormat="1" applyFont="1" applyAlignment="1">
      <alignment horizontal="fill" vertical="top"/>
      <protection/>
    </xf>
    <xf numFmtId="37" fontId="0" fillId="0" borderId="0" xfId="141" applyNumberFormat="1" applyFont="1" applyAlignment="1">
      <alignment horizontal="fill" vertical="top"/>
      <protection/>
    </xf>
    <xf numFmtId="5" fontId="0" fillId="55" borderId="0" xfId="152" applyNumberFormat="1" applyFont="1" applyFill="1" applyAlignment="1">
      <alignment horizontal="fill" vertical="top"/>
      <protection/>
    </xf>
    <xf numFmtId="49" fontId="0" fillId="55" borderId="0" xfId="152" applyNumberFormat="1" applyFill="1" applyAlignment="1">
      <alignment horizontal="fill" vertical="top"/>
      <protection/>
    </xf>
    <xf numFmtId="49" fontId="6" fillId="0" borderId="0" xfId="141" applyNumberFormat="1" applyFont="1" applyAlignment="1">
      <alignment horizontal="fill" vertical="top"/>
      <protection/>
    </xf>
    <xf numFmtId="0" fontId="4" fillId="0" borderId="0" xfId="0" applyFont="1" applyAlignment="1">
      <alignment vertical="top"/>
    </xf>
    <xf numFmtId="0" fontId="34" fillId="0" borderId="0" xfId="0" applyFont="1" applyAlignment="1">
      <alignment horizontal="left" vertical="top"/>
    </xf>
    <xf numFmtId="168" fontId="0" fillId="55" borderId="0" xfId="152" applyNumberFormat="1" applyFont="1" applyFill="1" applyAlignment="1">
      <alignment vertical="top"/>
      <protection/>
    </xf>
    <xf numFmtId="0" fontId="4" fillId="0" borderId="0" xfId="0" applyFont="1" applyAlignment="1">
      <alignment horizontal="left" vertical="top"/>
    </xf>
    <xf numFmtId="5" fontId="0" fillId="0" borderId="0" xfId="141" applyNumberFormat="1" applyAlignment="1">
      <alignment vertical="top"/>
      <protection/>
    </xf>
    <xf numFmtId="5" fontId="31" fillId="0" borderId="0" xfId="0" applyNumberFormat="1" applyFont="1" applyAlignment="1">
      <alignment horizontal="left" vertical="top"/>
    </xf>
    <xf numFmtId="0" fontId="0" fillId="0" borderId="0" xfId="187" applyFont="1" applyAlignment="1">
      <alignment horizontal="left" vertical="top"/>
      <protection/>
    </xf>
    <xf numFmtId="0" fontId="0" fillId="0" borderId="0" xfId="187" applyFont="1" applyFill="1" applyAlignment="1">
      <alignment horizontal="left" vertical="top"/>
      <protection/>
    </xf>
    <xf numFmtId="5" fontId="24" fillId="0" borderId="0" xfId="141" applyNumberFormat="1" applyFont="1" applyAlignment="1">
      <alignment vertical="top"/>
      <protection/>
    </xf>
    <xf numFmtId="5" fontId="24" fillId="0" borderId="0" xfId="141" applyNumberFormat="1" applyFont="1" applyFill="1" applyAlignment="1">
      <alignment vertical="top"/>
      <protection/>
    </xf>
    <xf numFmtId="5" fontId="24" fillId="0" borderId="0" xfId="141" applyNumberFormat="1" applyFont="1" applyAlignment="1">
      <alignment vertical="top"/>
      <protection/>
    </xf>
    <xf numFmtId="37" fontId="24" fillId="0" borderId="0" xfId="141" applyNumberFormat="1" applyFont="1" applyAlignment="1">
      <alignment vertical="top"/>
      <protection/>
    </xf>
    <xf numFmtId="5" fontId="24" fillId="55" borderId="0" xfId="152" applyNumberFormat="1" applyFont="1" applyFill="1" applyAlignment="1">
      <alignment vertical="top"/>
      <protection/>
    </xf>
    <xf numFmtId="168" fontId="24" fillId="55" borderId="0" xfId="152" applyNumberFormat="1" applyFont="1" applyFill="1" applyAlignment="1">
      <alignment vertical="top"/>
      <protection/>
    </xf>
    <xf numFmtId="5" fontId="0" fillId="0" borderId="0" xfId="0" applyNumberFormat="1" applyAlignment="1">
      <alignment vertical="top"/>
    </xf>
    <xf numFmtId="5" fontId="24" fillId="0" borderId="0" xfId="141" applyNumberFormat="1" applyFont="1" applyAlignment="1">
      <alignment horizontal="fill" vertical="top"/>
      <protection/>
    </xf>
    <xf numFmtId="5" fontId="24" fillId="0" borderId="0" xfId="141" applyNumberFormat="1" applyFont="1" applyFill="1" applyAlignment="1">
      <alignment horizontal="fill" vertical="top"/>
      <protection/>
    </xf>
    <xf numFmtId="5" fontId="24" fillId="0" borderId="0" xfId="141" applyNumberFormat="1" applyFont="1" applyAlignment="1">
      <alignment horizontal="fill" vertical="top"/>
      <protection/>
    </xf>
    <xf numFmtId="37" fontId="24" fillId="0" borderId="0" xfId="141" applyNumberFormat="1" applyFont="1" applyAlignment="1">
      <alignment horizontal="fill" vertical="top"/>
      <protection/>
    </xf>
    <xf numFmtId="5" fontId="24" fillId="55" borderId="0" xfId="152" applyNumberFormat="1" applyFont="1" applyFill="1" applyAlignment="1">
      <alignment horizontal="fill" vertical="top"/>
      <protection/>
    </xf>
    <xf numFmtId="49" fontId="24" fillId="55" borderId="0" xfId="152" applyNumberFormat="1" applyFont="1" applyFill="1" applyAlignment="1">
      <alignment horizontal="fill"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166" fontId="6" fillId="0" borderId="0" xfId="141" applyNumberFormat="1" applyFont="1" applyAlignment="1">
      <alignment vertical="top"/>
      <protection/>
    </xf>
    <xf numFmtId="3" fontId="0" fillId="0" borderId="0" xfId="141" applyNumberFormat="1" applyFont="1" applyAlignment="1">
      <alignment horizontal="fill" vertical="top"/>
      <protection/>
    </xf>
    <xf numFmtId="5" fontId="6" fillId="0" borderId="0" xfId="141" applyNumberFormat="1" applyFont="1" applyFill="1" applyAlignment="1">
      <alignment horizontal="fill" vertical="top"/>
      <protection/>
    </xf>
    <xf numFmtId="5" fontId="6" fillId="0" borderId="0" xfId="141" applyNumberFormat="1" applyFont="1" applyAlignment="1">
      <alignment horizontal="fill" vertical="top"/>
      <protection/>
    </xf>
    <xf numFmtId="5" fontId="0" fillId="55" borderId="0" xfId="152" applyNumberFormat="1" applyFill="1" applyAlignment="1">
      <alignment horizontal="fill" vertical="top"/>
      <protection/>
    </xf>
    <xf numFmtId="3" fontId="6" fillId="0" borderId="0" xfId="141" applyNumberFormat="1" applyFont="1" applyAlignment="1">
      <alignment vertical="top"/>
      <protection/>
    </xf>
    <xf numFmtId="5" fontId="6" fillId="0" borderId="0" xfId="141" applyNumberFormat="1" applyFont="1" applyAlignment="1">
      <alignment vertical="top"/>
      <protection/>
    </xf>
    <xf numFmtId="5" fontId="6" fillId="0" borderId="0" xfId="141" applyNumberFormat="1" applyFont="1" applyFill="1" applyAlignment="1">
      <alignment vertical="top"/>
      <protection/>
    </xf>
    <xf numFmtId="5" fontId="0" fillId="0" borderId="0" xfId="152" applyNumberFormat="1" applyFill="1" applyAlignment="1">
      <alignment vertical="top"/>
      <protection/>
    </xf>
    <xf numFmtId="165" fontId="0" fillId="0" borderId="0" xfId="152" applyFill="1" applyAlignment="1">
      <alignment vertical="top"/>
      <protection/>
    </xf>
    <xf numFmtId="0" fontId="0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5" fontId="0" fillId="0" borderId="0" xfId="0" applyNumberFormat="1" applyFill="1" applyAlignment="1">
      <alignment vertical="top"/>
    </xf>
    <xf numFmtId="0" fontId="5" fillId="0" borderId="0" xfId="0" applyFont="1" applyAlignment="1">
      <alignment horizontal="left" vertical="top"/>
    </xf>
    <xf numFmtId="49" fontId="6" fillId="0" borderId="0" xfId="141" applyNumberFormat="1" applyFont="1" applyAlignment="1">
      <alignment horizontal="right" vertical="top"/>
      <protection/>
    </xf>
    <xf numFmtId="3" fontId="0" fillId="0" borderId="0" xfId="141" applyNumberFormat="1" applyAlignment="1">
      <alignment vertical="top"/>
      <protection/>
    </xf>
    <xf numFmtId="5" fontId="0" fillId="0" borderId="0" xfId="141" applyNumberFormat="1" applyFill="1" applyAlignment="1">
      <alignment vertical="top"/>
      <protection/>
    </xf>
    <xf numFmtId="5" fontId="0" fillId="0" borderId="0" xfId="152" applyNumberFormat="1" applyAlignment="1">
      <alignment vertical="top"/>
      <protection/>
    </xf>
    <xf numFmtId="165" fontId="0" fillId="0" borderId="0" xfId="152" applyAlignment="1">
      <alignment vertical="top"/>
      <protection/>
    </xf>
    <xf numFmtId="0" fontId="0" fillId="52" borderId="20" xfId="0" applyFill="1" applyBorder="1" applyAlignment="1">
      <alignment vertical="top"/>
    </xf>
    <xf numFmtId="0" fontId="0" fillId="52" borderId="21" xfId="0" applyFill="1" applyBorder="1" applyAlignment="1">
      <alignment vertical="top"/>
    </xf>
    <xf numFmtId="3" fontId="0" fillId="52" borderId="21" xfId="122" applyNumberFormat="1" applyFont="1" applyFill="1" applyBorder="1" applyAlignment="1">
      <alignment vertical="top"/>
    </xf>
    <xf numFmtId="169" fontId="0" fillId="52" borderId="21" xfId="122" applyNumberFormat="1" applyFont="1" applyFill="1" applyBorder="1" applyAlignment="1">
      <alignment vertical="top"/>
    </xf>
    <xf numFmtId="5" fontId="0" fillId="52" borderId="21" xfId="122" applyNumberFormat="1" applyFont="1" applyFill="1" applyBorder="1" applyAlignment="1">
      <alignment vertical="top"/>
    </xf>
    <xf numFmtId="5" fontId="0" fillId="59" borderId="21" xfId="122" applyNumberFormat="1" applyFont="1" applyFill="1" applyBorder="1" applyAlignment="1">
      <alignment vertical="top"/>
    </xf>
    <xf numFmtId="5" fontId="0" fillId="52" borderId="21" xfId="0" applyNumberFormat="1" applyFill="1" applyBorder="1" applyAlignment="1">
      <alignment vertical="top"/>
    </xf>
    <xf numFmtId="5" fontId="0" fillId="59" borderId="22" xfId="122" applyNumberFormat="1" applyFont="1" applyFill="1" applyBorder="1" applyAlignment="1">
      <alignment vertical="top"/>
    </xf>
    <xf numFmtId="0" fontId="11" fillId="52" borderId="23" xfId="0" applyFont="1" applyFill="1" applyBorder="1" applyAlignment="1">
      <alignment vertical="top"/>
    </xf>
    <xf numFmtId="0" fontId="11" fillId="52" borderId="0" xfId="0" applyFont="1" applyFill="1" applyBorder="1" applyAlignment="1" quotePrefix="1">
      <alignment vertical="top"/>
    </xf>
    <xf numFmtId="3" fontId="0" fillId="52" borderId="0" xfId="122" applyNumberFormat="1" applyFont="1" applyFill="1" applyBorder="1" applyAlignment="1">
      <alignment vertical="top"/>
    </xf>
    <xf numFmtId="169" fontId="0" fillId="52" borderId="0" xfId="122" applyNumberFormat="1" applyFont="1" applyFill="1" applyBorder="1" applyAlignment="1">
      <alignment vertical="top"/>
    </xf>
    <xf numFmtId="5" fontId="0" fillId="52" borderId="0" xfId="122" applyNumberFormat="1" applyFont="1" applyFill="1" applyBorder="1" applyAlignment="1">
      <alignment vertical="top"/>
    </xf>
    <xf numFmtId="5" fontId="0" fillId="59" borderId="0" xfId="122" applyNumberFormat="1" applyFont="1" applyFill="1" applyBorder="1" applyAlignment="1">
      <alignment vertical="top"/>
    </xf>
    <xf numFmtId="5" fontId="11" fillId="52" borderId="0" xfId="0" applyNumberFormat="1" applyFont="1" applyFill="1" applyBorder="1" applyAlignment="1" quotePrefix="1">
      <alignment vertical="top"/>
    </xf>
    <xf numFmtId="5" fontId="0" fillId="59" borderId="24" xfId="122" applyNumberFormat="1" applyFont="1" applyFill="1" applyBorder="1" applyAlignment="1">
      <alignment vertical="top"/>
    </xf>
    <xf numFmtId="0" fontId="12" fillId="52" borderId="23" xfId="0" applyFont="1" applyFill="1" applyBorder="1" applyAlignment="1" quotePrefix="1">
      <alignment vertical="top"/>
    </xf>
    <xf numFmtId="0" fontId="12" fillId="52" borderId="0" xfId="0" applyFont="1" applyFill="1" applyBorder="1" applyAlignment="1" quotePrefix="1">
      <alignment vertical="top"/>
    </xf>
    <xf numFmtId="3" fontId="12" fillId="52" borderId="0" xfId="0" applyNumberFormat="1" applyFont="1" applyFill="1" applyBorder="1" applyAlignment="1">
      <alignment vertical="top"/>
    </xf>
    <xf numFmtId="169" fontId="12" fillId="52" borderId="0" xfId="0" applyNumberFormat="1" applyFont="1" applyFill="1" applyBorder="1" applyAlignment="1">
      <alignment vertical="top"/>
    </xf>
    <xf numFmtId="5" fontId="12" fillId="52" borderId="0" xfId="0" applyNumberFormat="1" applyFont="1" applyFill="1" applyBorder="1" applyAlignment="1">
      <alignment vertical="top"/>
    </xf>
    <xf numFmtId="5" fontId="12" fillId="59" borderId="25" xfId="0" applyNumberFormat="1" applyFont="1" applyFill="1" applyBorder="1" applyAlignment="1">
      <alignment vertical="top"/>
    </xf>
    <xf numFmtId="5" fontId="12" fillId="59" borderId="0" xfId="0" applyNumberFormat="1" applyFont="1" applyFill="1" applyBorder="1" applyAlignment="1">
      <alignment vertical="top"/>
    </xf>
    <xf numFmtId="5" fontId="12" fillId="52" borderId="0" xfId="0" applyNumberFormat="1" applyFont="1" applyFill="1" applyBorder="1" applyAlignment="1" quotePrefix="1">
      <alignment vertical="top"/>
    </xf>
    <xf numFmtId="5" fontId="12" fillId="59" borderId="26" xfId="0" applyNumberFormat="1" applyFont="1" applyFill="1" applyBorder="1" applyAlignment="1">
      <alignment vertical="top"/>
    </xf>
    <xf numFmtId="0" fontId="0" fillId="52" borderId="23" xfId="0" applyFill="1" applyBorder="1" applyAlignment="1">
      <alignment vertical="top"/>
    </xf>
    <xf numFmtId="0" fontId="0" fillId="52" borderId="0" xfId="0" applyFill="1" applyBorder="1" applyAlignment="1">
      <alignment vertical="top"/>
    </xf>
    <xf numFmtId="3" fontId="0" fillId="52" borderId="0" xfId="0" applyNumberFormat="1" applyFill="1" applyBorder="1" applyAlignment="1">
      <alignment vertical="top"/>
    </xf>
    <xf numFmtId="5" fontId="0" fillId="52" borderId="0" xfId="0" applyNumberFormat="1" applyFill="1" applyBorder="1" applyAlignment="1">
      <alignment vertical="top"/>
    </xf>
    <xf numFmtId="5" fontId="0" fillId="59" borderId="0" xfId="0" applyNumberFormat="1" applyFill="1" applyBorder="1" applyAlignment="1">
      <alignment vertical="top"/>
    </xf>
    <xf numFmtId="5" fontId="0" fillId="59" borderId="24" xfId="0" applyNumberFormat="1" applyFill="1" applyBorder="1" applyAlignment="1">
      <alignment vertical="top"/>
    </xf>
    <xf numFmtId="170" fontId="0" fillId="52" borderId="0" xfId="0" applyNumberFormat="1" applyFill="1" applyBorder="1" applyAlignment="1">
      <alignment vertical="top"/>
    </xf>
    <xf numFmtId="0" fontId="57" fillId="52" borderId="23" xfId="0" applyFont="1" applyFill="1" applyBorder="1" applyAlignment="1" quotePrefix="1">
      <alignment vertical="top"/>
    </xf>
    <xf numFmtId="38" fontId="0" fillId="52" borderId="0" xfId="0" applyNumberFormat="1" applyFill="1" applyBorder="1" applyAlignment="1">
      <alignment vertical="top"/>
    </xf>
    <xf numFmtId="5" fontId="0" fillId="59" borderId="32" xfId="0" applyNumberFormat="1" applyFill="1" applyBorder="1" applyAlignment="1">
      <alignment vertical="top"/>
    </xf>
    <xf numFmtId="170" fontId="12" fillId="52" borderId="0" xfId="0" applyNumberFormat="1" applyFont="1" applyFill="1" applyBorder="1" applyAlignment="1">
      <alignment vertical="top"/>
    </xf>
    <xf numFmtId="5" fontId="12" fillId="59" borderId="27" xfId="0" applyNumberFormat="1" applyFont="1" applyFill="1" applyBorder="1" applyAlignment="1">
      <alignment vertical="top"/>
    </xf>
    <xf numFmtId="5" fontId="12" fillId="59" borderId="28" xfId="0" applyNumberFormat="1" applyFont="1" applyFill="1" applyBorder="1" applyAlignment="1">
      <alignment vertical="top"/>
    </xf>
    <xf numFmtId="0" fontId="0" fillId="52" borderId="29" xfId="0" applyFill="1" applyBorder="1" applyAlignment="1">
      <alignment vertical="top"/>
    </xf>
    <xf numFmtId="0" fontId="0" fillId="52" borderId="30" xfId="0" applyFill="1" applyBorder="1" applyAlignment="1">
      <alignment vertical="top"/>
    </xf>
    <xf numFmtId="3" fontId="0" fillId="52" borderId="30" xfId="0" applyNumberFormat="1" applyFill="1" applyBorder="1" applyAlignment="1">
      <alignment vertical="top"/>
    </xf>
    <xf numFmtId="5" fontId="0" fillId="52" borderId="30" xfId="0" applyNumberFormat="1" applyFill="1" applyBorder="1" applyAlignment="1">
      <alignment vertical="top"/>
    </xf>
    <xf numFmtId="5" fontId="0" fillId="59" borderId="30" xfId="0" applyNumberFormat="1" applyFill="1" applyBorder="1" applyAlignment="1">
      <alignment vertical="top"/>
    </xf>
    <xf numFmtId="5" fontId="0" fillId="59" borderId="31" xfId="0" applyNumberFormat="1" applyFill="1" applyBorder="1" applyAlignment="1">
      <alignment vertical="top"/>
    </xf>
    <xf numFmtId="0" fontId="12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11" fillId="52" borderId="23" xfId="0" applyFont="1" applyFill="1" applyBorder="1" applyAlignment="1" quotePrefix="1">
      <alignment horizontal="left" vertical="top" wrapText="1"/>
    </xf>
    <xf numFmtId="0" fontId="11" fillId="52" borderId="0" xfId="0" applyFont="1" applyFill="1" applyBorder="1" applyAlignment="1" quotePrefix="1">
      <alignment horizontal="left" vertical="top" wrapText="1"/>
    </xf>
    <xf numFmtId="49" fontId="3" fillId="0" borderId="0" xfId="152" applyNumberFormat="1" applyFont="1" applyAlignment="1">
      <alignment horizontal="center"/>
      <protection/>
    </xf>
    <xf numFmtId="49" fontId="3" fillId="0" borderId="0" xfId="152" applyNumberFormat="1" applyFont="1" applyAlignment="1">
      <alignment horizontal="center" vertical="top"/>
      <protection/>
    </xf>
    <xf numFmtId="167" fontId="9" fillId="55" borderId="0" xfId="141" applyFont="1" applyFill="1" applyAlignment="1">
      <alignment horizontal="center" vertical="top"/>
      <protection/>
    </xf>
    <xf numFmtId="0" fontId="0" fillId="0" borderId="0" xfId="0" applyAlignment="1">
      <alignment horizontal="center" vertical="top"/>
    </xf>
    <xf numFmtId="49" fontId="9" fillId="55" borderId="0" xfId="141" applyNumberFormat="1" applyFont="1" applyFill="1" applyAlignment="1">
      <alignment horizontal="center" vertical="top"/>
      <protection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22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2" xfId="20"/>
    <cellStyle name="20% - Accent2 2" xfId="21"/>
    <cellStyle name="20% - Accent2 2 2" xfId="22"/>
    <cellStyle name="20% - Accent2 3" xfId="23"/>
    <cellStyle name="20% - Accent2 3 2" xfId="24"/>
    <cellStyle name="20% - Accent3" xfId="25"/>
    <cellStyle name="20% - Accent3 2" xfId="26"/>
    <cellStyle name="20% - Accent3 2 2" xfId="27"/>
    <cellStyle name="20% - Accent3 3" xfId="28"/>
    <cellStyle name="20% - Accent3 3 2" xfId="29"/>
    <cellStyle name="20% - Accent4" xfId="30"/>
    <cellStyle name="20% - Accent4 2" xfId="31"/>
    <cellStyle name="20% - Accent4 2 2" xfId="32"/>
    <cellStyle name="20% - Accent4 3" xfId="33"/>
    <cellStyle name="20% - Accent4 3 2" xfId="34"/>
    <cellStyle name="20% - Accent5" xfId="35"/>
    <cellStyle name="20% - Accent5 2" xfId="36"/>
    <cellStyle name="20% - Accent5 2 2" xfId="37"/>
    <cellStyle name="20% - Accent5 3" xfId="38"/>
    <cellStyle name="20% - Accent5 3 2" xfId="39"/>
    <cellStyle name="20% - Accent6" xfId="40"/>
    <cellStyle name="20% - Accent6 2" xfId="41"/>
    <cellStyle name="20% - Accent6 2 2" xfId="42"/>
    <cellStyle name="20% - Accent6 3" xfId="43"/>
    <cellStyle name="20% - Accent6 3 2" xfId="44"/>
    <cellStyle name="40% - Accent1" xfId="45"/>
    <cellStyle name="40% - Accent1 2" xfId="46"/>
    <cellStyle name="40% - Accent1 2 2" xfId="47"/>
    <cellStyle name="40% - Accent1 3" xfId="48"/>
    <cellStyle name="40% - Accent1 3 2" xfId="49"/>
    <cellStyle name="40% - Accent2" xfId="50"/>
    <cellStyle name="40% - Accent2 2" xfId="51"/>
    <cellStyle name="40% - Accent2 2 2" xfId="52"/>
    <cellStyle name="40% - Accent2 3" xfId="53"/>
    <cellStyle name="40% - Accent2 3 2" xfId="54"/>
    <cellStyle name="40% - Accent3" xfId="55"/>
    <cellStyle name="40% - Accent3 2" xfId="56"/>
    <cellStyle name="40% - Accent3 2 2" xfId="57"/>
    <cellStyle name="40% - Accent3 3" xfId="58"/>
    <cellStyle name="40% - Accent3 3 2" xfId="59"/>
    <cellStyle name="40% - Accent4" xfId="60"/>
    <cellStyle name="40% - Accent4 2" xfId="61"/>
    <cellStyle name="40% - Accent4 2 2" xfId="62"/>
    <cellStyle name="40% - Accent4 3" xfId="63"/>
    <cellStyle name="40% - Accent4 3 2" xfId="64"/>
    <cellStyle name="40% - Accent5" xfId="65"/>
    <cellStyle name="40% - Accent5 2" xfId="66"/>
    <cellStyle name="40% - Accent5 2 2" xfId="67"/>
    <cellStyle name="40% - Accent5 3" xfId="68"/>
    <cellStyle name="40% - Accent5 3 2" xfId="69"/>
    <cellStyle name="40% - Accent6" xfId="70"/>
    <cellStyle name="40% - Accent6 2" xfId="71"/>
    <cellStyle name="40% - Accent6 2 2" xfId="72"/>
    <cellStyle name="40% - Accent6 3" xfId="73"/>
    <cellStyle name="40% - Accent6 3 2" xfId="74"/>
    <cellStyle name="60% - Accent1" xfId="75"/>
    <cellStyle name="60% - Accent1 2" xfId="76"/>
    <cellStyle name="60% - Accent1 3" xfId="77"/>
    <cellStyle name="60% - Accent2" xfId="78"/>
    <cellStyle name="60% - Accent2 2" xfId="79"/>
    <cellStyle name="60% - Accent2 3" xfId="80"/>
    <cellStyle name="60% - Accent3" xfId="81"/>
    <cellStyle name="60% - Accent3 2" xfId="82"/>
    <cellStyle name="60% - Accent3 3" xfId="83"/>
    <cellStyle name="60% - Accent4" xfId="84"/>
    <cellStyle name="60% - Accent4 2" xfId="85"/>
    <cellStyle name="60% - Accent4 3" xfId="86"/>
    <cellStyle name="60% - Accent5" xfId="87"/>
    <cellStyle name="60% - Accent5 2" xfId="88"/>
    <cellStyle name="60% - Accent5 3" xfId="89"/>
    <cellStyle name="60% - Accent6" xfId="90"/>
    <cellStyle name="60% - Accent6 2" xfId="91"/>
    <cellStyle name="60% - Accent6 3" xfId="92"/>
    <cellStyle name="Accent1" xfId="93"/>
    <cellStyle name="Accent1 2" xfId="94"/>
    <cellStyle name="Accent1 3" xfId="95"/>
    <cellStyle name="Accent2" xfId="96"/>
    <cellStyle name="Accent2 2" xfId="97"/>
    <cellStyle name="Accent2 3" xfId="98"/>
    <cellStyle name="Accent3" xfId="99"/>
    <cellStyle name="Accent3 2" xfId="100"/>
    <cellStyle name="Accent3 3" xfId="101"/>
    <cellStyle name="Accent4" xfId="102"/>
    <cellStyle name="Accent4 2" xfId="103"/>
    <cellStyle name="Accent4 3" xfId="104"/>
    <cellStyle name="Accent5" xfId="105"/>
    <cellStyle name="Accent5 2" xfId="106"/>
    <cellStyle name="Accent5 3" xfId="107"/>
    <cellStyle name="Accent6" xfId="108"/>
    <cellStyle name="Accent6 2" xfId="109"/>
    <cellStyle name="Accent6 3" xfId="110"/>
    <cellStyle name="Bad" xfId="111"/>
    <cellStyle name="Bad 2" xfId="112"/>
    <cellStyle name="Bad 3" xfId="113"/>
    <cellStyle name="Calculation" xfId="114"/>
    <cellStyle name="Calculation 2" xfId="115"/>
    <cellStyle name="Calculation 3" xfId="116"/>
    <cellStyle name="Check Cell" xfId="117"/>
    <cellStyle name="Check Cell 2" xfId="118"/>
    <cellStyle name="Check Cell 3" xfId="119"/>
    <cellStyle name="Comma" xfId="120"/>
    <cellStyle name="Comma [0]" xfId="121"/>
    <cellStyle name="Comma 2" xfId="122"/>
    <cellStyle name="Comma 2 2" xfId="123"/>
    <cellStyle name="Comma 2 2 2" xfId="124"/>
    <cellStyle name="Comma 2 2 3" xfId="125"/>
    <cellStyle name="Comma 2 3" xfId="126"/>
    <cellStyle name="Comma 3" xfId="127"/>
    <cellStyle name="Comma 3 2" xfId="128"/>
    <cellStyle name="Comma 4" xfId="129"/>
    <cellStyle name="Comma 4 2" xfId="130"/>
    <cellStyle name="Comma 5" xfId="131"/>
    <cellStyle name="Comma 6" xfId="132"/>
    <cellStyle name="Comma 6 2" xfId="133"/>
    <cellStyle name="Comma 7" xfId="134"/>
    <cellStyle name="Comma 8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RxAmtStyle" xfId="141"/>
    <cellStyle name="FRxAmtStyle 2" xfId="142"/>
    <cellStyle name="FRxAmtStyle 2 2" xfId="143"/>
    <cellStyle name="FRxAmtStyle 2 2 2" xfId="144"/>
    <cellStyle name="FRxAmtStyle 2 3" xfId="145"/>
    <cellStyle name="FRxAmtStyle 3" xfId="146"/>
    <cellStyle name="FRxAmtStyle 4" xfId="147"/>
    <cellStyle name="FRxAmtStyle 5" xfId="148"/>
    <cellStyle name="FRxCurrStyle" xfId="149"/>
    <cellStyle name="FRxCurrStyle 2" xfId="150"/>
    <cellStyle name="FRxCurrStyle 3" xfId="151"/>
    <cellStyle name="FRxPcntStyle" xfId="152"/>
    <cellStyle name="FRxPcntStyle 2" xfId="153"/>
    <cellStyle name="FRxPcntStyle 3" xfId="154"/>
    <cellStyle name="FRxPcntStyle 4" xfId="155"/>
    <cellStyle name="Good" xfId="156"/>
    <cellStyle name="Good 2" xfId="157"/>
    <cellStyle name="Good 3" xfId="158"/>
    <cellStyle name="Heading 1" xfId="159"/>
    <cellStyle name="Heading 1 2" xfId="160"/>
    <cellStyle name="Heading 1 3" xfId="161"/>
    <cellStyle name="Heading 2" xfId="162"/>
    <cellStyle name="Heading 2 2" xfId="163"/>
    <cellStyle name="Heading 2 3" xfId="164"/>
    <cellStyle name="Heading 3" xfId="165"/>
    <cellStyle name="Heading 3 2" xfId="166"/>
    <cellStyle name="Heading 3 3" xfId="167"/>
    <cellStyle name="Heading 4" xfId="168"/>
    <cellStyle name="Heading 4 2" xfId="169"/>
    <cellStyle name="Heading 4 3" xfId="170"/>
    <cellStyle name="Input" xfId="171"/>
    <cellStyle name="Input 2" xfId="172"/>
    <cellStyle name="Input 3" xfId="173"/>
    <cellStyle name="Linked Cell" xfId="174"/>
    <cellStyle name="Linked Cell 2" xfId="175"/>
    <cellStyle name="Linked Cell 3" xfId="176"/>
    <cellStyle name="Neutral" xfId="177"/>
    <cellStyle name="Neutral 2" xfId="178"/>
    <cellStyle name="Neutral 3" xfId="179"/>
    <cellStyle name="Normal 10" xfId="180"/>
    <cellStyle name="Normal 2" xfId="181"/>
    <cellStyle name="Normal 2 2" xfId="182"/>
    <cellStyle name="Normal 3" xfId="183"/>
    <cellStyle name="Normal 4" xfId="184"/>
    <cellStyle name="Normal 4 2" xfId="185"/>
    <cellStyle name="Normal 5" xfId="186"/>
    <cellStyle name="Normal 6" xfId="187"/>
    <cellStyle name="Normal 6 2" xfId="188"/>
    <cellStyle name="Normal 7" xfId="189"/>
    <cellStyle name="Normal 7 2" xfId="190"/>
    <cellStyle name="Normal 8" xfId="191"/>
    <cellStyle name="Normal 9" xfId="192"/>
    <cellStyle name="Note" xfId="193"/>
    <cellStyle name="Note 2" xfId="194"/>
    <cellStyle name="Note 2 2" xfId="195"/>
    <cellStyle name="Note 2 2 2" xfId="196"/>
    <cellStyle name="Note 3" xfId="197"/>
    <cellStyle name="Note 4" xfId="198"/>
    <cellStyle name="Note 4 2" xfId="199"/>
    <cellStyle name="Note 5" xfId="200"/>
    <cellStyle name="Note 6" xfId="201"/>
    <cellStyle name="Output" xfId="202"/>
    <cellStyle name="Output 2" xfId="203"/>
    <cellStyle name="Output 3" xfId="204"/>
    <cellStyle name="Percent" xfId="205"/>
    <cellStyle name="STYLE1" xfId="206"/>
    <cellStyle name="STYLE1 2" xfId="207"/>
    <cellStyle name="STYLE1 3" xfId="208"/>
    <cellStyle name="STYLE2" xfId="209"/>
    <cellStyle name="STYLE2 2" xfId="210"/>
    <cellStyle name="STYLE2 3" xfId="211"/>
    <cellStyle name="STYLE3" xfId="212"/>
    <cellStyle name="STYLE3 2" xfId="213"/>
    <cellStyle name="STYLE3 3" xfId="214"/>
    <cellStyle name="STYLE4" xfId="215"/>
    <cellStyle name="STYLE4 2" xfId="216"/>
    <cellStyle name="STYLE5" xfId="217"/>
    <cellStyle name="STYLE5 2" xfId="218"/>
    <cellStyle name="STYLE6" xfId="219"/>
    <cellStyle name="STYLE6 2" xfId="220"/>
    <cellStyle name="STYLE7" xfId="221"/>
    <cellStyle name="STYLE7 2" xfId="222"/>
    <cellStyle name="STYLE8" xfId="223"/>
    <cellStyle name="STYLE8 2" xfId="224"/>
    <cellStyle name="STYLE9" xfId="225"/>
    <cellStyle name="STYLE9 2" xfId="226"/>
    <cellStyle name="Title" xfId="227"/>
    <cellStyle name="Title 2" xfId="228"/>
    <cellStyle name="Title 3" xfId="229"/>
    <cellStyle name="Total" xfId="230"/>
    <cellStyle name="Total 2" xfId="231"/>
    <cellStyle name="Total 3" xfId="232"/>
    <cellStyle name="Warning Text" xfId="233"/>
    <cellStyle name="Warning Text 2" xfId="234"/>
    <cellStyle name="Warning Text 3" xfId="235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DFD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zoomScale="90" zoomScaleNormal="90" zoomScalePageLayoutView="0" workbookViewId="0" topLeftCell="A1">
      <pane ySplit="11" topLeftCell="A45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13.57421875" style="0" customWidth="1"/>
    <col min="2" max="2" width="32.57421875" style="0" customWidth="1"/>
    <col min="3" max="3" width="14.140625" style="1" customWidth="1"/>
    <col min="4" max="4" width="0" style="1" hidden="1" customWidth="1"/>
    <col min="5" max="5" width="15.57421875" style="1" customWidth="1"/>
    <col min="6" max="6" width="16.421875" style="1" customWidth="1"/>
    <col min="7" max="7" width="6.57421875" style="2" customWidth="1"/>
    <col min="8" max="8" width="15.57421875" style="1" customWidth="1"/>
    <col min="9" max="9" width="0" style="1" hidden="1" customWidth="1"/>
    <col min="10" max="10" width="15.57421875" style="1" customWidth="1"/>
    <col min="11" max="11" width="14.421875" style="1" bestFit="1" customWidth="1"/>
    <col min="12" max="12" width="5.57421875" style="2" customWidth="1"/>
    <col min="13" max="13" width="11.57421875" style="1" customWidth="1"/>
  </cols>
  <sheetData>
    <row r="1" spans="1:13" ht="18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8">
      <c r="A2" s="236" t="s">
        <v>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8">
      <c r="A3" s="236" t="s">
        <v>59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7" spans="3:12" ht="15">
      <c r="C7" s="4" t="s">
        <v>60</v>
      </c>
      <c r="D7" s="5"/>
      <c r="E7" s="5"/>
      <c r="F7" s="5"/>
      <c r="G7" s="6"/>
      <c r="H7" s="4" t="s">
        <v>2</v>
      </c>
      <c r="I7" s="5"/>
      <c r="J7" s="5"/>
      <c r="K7" s="5"/>
      <c r="L7" s="6"/>
    </row>
    <row r="9" spans="5:13" ht="12.75">
      <c r="E9" s="8" t="s">
        <v>3</v>
      </c>
      <c r="F9" s="7" t="s">
        <v>4</v>
      </c>
      <c r="J9" s="8" t="s">
        <v>3</v>
      </c>
      <c r="K9" s="9" t="s">
        <v>4</v>
      </c>
      <c r="L9" s="10"/>
      <c r="M9" s="8" t="s">
        <v>5</v>
      </c>
    </row>
    <row r="10" spans="3:13" ht="12.75">
      <c r="C10" s="11" t="s">
        <v>6</v>
      </c>
      <c r="E10" s="11" t="s">
        <v>7</v>
      </c>
      <c r="F10" s="11" t="s">
        <v>8</v>
      </c>
      <c r="G10" s="12" t="s">
        <v>9</v>
      </c>
      <c r="H10" s="11" t="s">
        <v>6</v>
      </c>
      <c r="J10" s="11" t="s">
        <v>7</v>
      </c>
      <c r="K10" s="11" t="s">
        <v>8</v>
      </c>
      <c r="L10" s="12" t="s">
        <v>9</v>
      </c>
      <c r="M10" s="11" t="s">
        <v>7</v>
      </c>
    </row>
    <row r="12" spans="3:13" ht="15">
      <c r="C12" s="21"/>
      <c r="D12" s="21"/>
      <c r="E12" s="21"/>
      <c r="F12" s="21"/>
      <c r="G12" s="3"/>
      <c r="H12" s="21"/>
      <c r="I12" s="21"/>
      <c r="J12" s="21"/>
      <c r="K12" s="21"/>
      <c r="L12" s="3"/>
      <c r="M12" s="21"/>
    </row>
    <row r="13" spans="3:13" ht="15">
      <c r="C13" s="21"/>
      <c r="D13" s="21"/>
      <c r="E13" s="21"/>
      <c r="F13" s="21"/>
      <c r="G13" s="3"/>
      <c r="H13" s="21"/>
      <c r="I13" s="21"/>
      <c r="J13" s="21"/>
      <c r="K13" s="21"/>
      <c r="L13" s="3"/>
      <c r="M13" s="21"/>
    </row>
    <row r="14" spans="1:13" ht="15.75">
      <c r="A14" s="13"/>
      <c r="B14" s="14" t="s">
        <v>10</v>
      </c>
      <c r="C14" s="21"/>
      <c r="D14" s="21"/>
      <c r="E14" s="21"/>
      <c r="F14" s="21"/>
      <c r="G14" s="27"/>
      <c r="H14" s="21"/>
      <c r="I14" s="21"/>
      <c r="J14" s="21"/>
      <c r="K14" s="21"/>
      <c r="L14" s="27"/>
      <c r="M14" s="21"/>
    </row>
    <row r="15" spans="3:13" ht="15">
      <c r="C15" s="21"/>
      <c r="D15" s="21"/>
      <c r="E15" s="21"/>
      <c r="F15" s="21"/>
      <c r="G15" s="3"/>
      <c r="H15" s="21"/>
      <c r="I15" s="21"/>
      <c r="J15" s="21"/>
      <c r="K15" s="21"/>
      <c r="L15" s="3"/>
      <c r="M15" s="21"/>
    </row>
    <row r="16" spans="1:15" ht="15">
      <c r="A16" s="15" t="s">
        <v>11</v>
      </c>
      <c r="B16" s="15" t="s">
        <v>12</v>
      </c>
      <c r="C16" s="22">
        <v>5075292</v>
      </c>
      <c r="D16" s="21"/>
      <c r="E16" s="58">
        <f>4034535+1271723.03-230966</f>
        <v>5075292.03</v>
      </c>
      <c r="F16" s="22">
        <f>E16-C16</f>
        <v>0.03000000026077032</v>
      </c>
      <c r="G16" s="24"/>
      <c r="H16" s="61">
        <v>26761996</v>
      </c>
      <c r="I16" s="21"/>
      <c r="J16" s="21">
        <v>25183050.01</v>
      </c>
      <c r="K16" s="22">
        <f>J16-H16</f>
        <v>-1578945.9899999984</v>
      </c>
      <c r="L16" s="24"/>
      <c r="M16" s="57" t="s">
        <v>63</v>
      </c>
      <c r="N16" s="59"/>
      <c r="O16" s="59"/>
    </row>
    <row r="17" spans="3:18" ht="15">
      <c r="C17" s="21"/>
      <c r="D17" s="21"/>
      <c r="E17" s="21"/>
      <c r="F17" s="22">
        <f aca="true" t="shared" si="0" ref="F17:F26">E17-C17</f>
        <v>0</v>
      </c>
      <c r="G17" s="3"/>
      <c r="H17" s="58"/>
      <c r="I17" s="21"/>
      <c r="J17" s="21"/>
      <c r="K17" s="22">
        <f aca="true" t="shared" si="1" ref="K17:K26">J17-H17</f>
        <v>0</v>
      </c>
      <c r="L17" s="3"/>
      <c r="M17" s="21"/>
      <c r="R17">
        <v>26762</v>
      </c>
    </row>
    <row r="18" spans="1:13" ht="15">
      <c r="A18" s="15" t="s">
        <v>13</v>
      </c>
      <c r="B18" s="15" t="s">
        <v>14</v>
      </c>
      <c r="C18" s="21">
        <v>13379</v>
      </c>
      <c r="D18" s="21"/>
      <c r="E18" s="21">
        <v>90000</v>
      </c>
      <c r="F18" s="22">
        <f t="shared" si="0"/>
        <v>76621</v>
      </c>
      <c r="G18" s="24"/>
      <c r="H18" s="60">
        <v>86637.73</v>
      </c>
      <c r="I18" s="21"/>
      <c r="J18" s="21">
        <v>90000</v>
      </c>
      <c r="K18" s="22">
        <f t="shared" si="1"/>
        <v>3362.270000000004</v>
      </c>
      <c r="L18" s="24"/>
      <c r="M18" s="21"/>
    </row>
    <row r="19" spans="1:13" ht="15">
      <c r="A19" s="15" t="s">
        <v>15</v>
      </c>
      <c r="B19" s="15" t="s">
        <v>16</v>
      </c>
      <c r="C19" s="21">
        <v>8547</v>
      </c>
      <c r="D19" s="21"/>
      <c r="E19" s="21"/>
      <c r="F19" s="22">
        <f t="shared" si="0"/>
        <v>-8547</v>
      </c>
      <c r="G19" s="24"/>
      <c r="H19" s="60">
        <v>48234.62</v>
      </c>
      <c r="I19" s="21"/>
      <c r="J19" s="21"/>
      <c r="K19" s="22">
        <f t="shared" si="1"/>
        <v>-48234.62</v>
      </c>
      <c r="L19" s="24"/>
      <c r="M19" s="21"/>
    </row>
    <row r="20" spans="1:13" ht="15">
      <c r="A20" s="15" t="s">
        <v>17</v>
      </c>
      <c r="B20" s="15" t="s">
        <v>18</v>
      </c>
      <c r="C20" s="21">
        <f>100370+150</f>
        <v>100520</v>
      </c>
      <c r="D20" s="21"/>
      <c r="E20" s="21">
        <v>100000</v>
      </c>
      <c r="F20" s="22">
        <f t="shared" si="0"/>
        <v>-520</v>
      </c>
      <c r="G20" s="24"/>
      <c r="H20" s="60">
        <f>2923665.67+168</f>
        <v>2923833.67</v>
      </c>
      <c r="I20" s="21"/>
      <c r="J20" s="21">
        <v>100000</v>
      </c>
      <c r="K20" s="22">
        <f t="shared" si="1"/>
        <v>-2823833.67</v>
      </c>
      <c r="L20" s="24"/>
      <c r="M20" s="21"/>
    </row>
    <row r="21" spans="1:13" ht="15">
      <c r="A21" s="15" t="s">
        <v>19</v>
      </c>
      <c r="B21" s="15" t="s">
        <v>20</v>
      </c>
      <c r="C21" s="21">
        <v>22406</v>
      </c>
      <c r="D21" s="21"/>
      <c r="E21" s="21"/>
      <c r="F21" s="22">
        <f t="shared" si="0"/>
        <v>-22406</v>
      </c>
      <c r="G21" s="24"/>
      <c r="H21" s="60">
        <v>233109.47</v>
      </c>
      <c r="I21" s="21"/>
      <c r="J21" s="21"/>
      <c r="K21" s="22">
        <f t="shared" si="1"/>
        <v>-233109.47</v>
      </c>
      <c r="L21" s="24"/>
      <c r="M21" s="21"/>
    </row>
    <row r="22" spans="1:13" ht="15">
      <c r="A22" s="15" t="s">
        <v>21</v>
      </c>
      <c r="B22" s="15" t="s">
        <v>22</v>
      </c>
      <c r="C22" s="21">
        <v>38261</v>
      </c>
      <c r="D22" s="21"/>
      <c r="E22" s="21"/>
      <c r="F22" s="22">
        <f t="shared" si="0"/>
        <v>-38261</v>
      </c>
      <c r="G22" s="24"/>
      <c r="H22" s="58">
        <f>76786-1976</f>
        <v>74810</v>
      </c>
      <c r="I22" s="21"/>
      <c r="J22" s="21"/>
      <c r="K22" s="22">
        <f t="shared" si="1"/>
        <v>-74810</v>
      </c>
      <c r="L22" s="24"/>
      <c r="M22" s="21"/>
    </row>
    <row r="23" spans="1:13" ht="15">
      <c r="A23" s="56" t="s">
        <v>61</v>
      </c>
      <c r="B23" s="15" t="s">
        <v>62</v>
      </c>
      <c r="C23" s="21">
        <v>230966</v>
      </c>
      <c r="D23" s="21"/>
      <c r="E23" s="21">
        <v>230966</v>
      </c>
      <c r="F23" s="22">
        <f t="shared" si="0"/>
        <v>0</v>
      </c>
      <c r="G23" s="3"/>
      <c r="H23" s="58">
        <v>230966</v>
      </c>
      <c r="I23" s="21"/>
      <c r="J23" s="21">
        <v>230966</v>
      </c>
      <c r="K23" s="22">
        <f t="shared" si="1"/>
        <v>0</v>
      </c>
      <c r="L23" s="3"/>
      <c r="M23" s="21"/>
    </row>
    <row r="24" spans="1:13" ht="15">
      <c r="A24" s="15" t="s">
        <v>23</v>
      </c>
      <c r="B24" s="15" t="s">
        <v>64</v>
      </c>
      <c r="C24" s="21"/>
      <c r="D24" s="21"/>
      <c r="E24" s="21"/>
      <c r="F24" s="22">
        <f t="shared" si="0"/>
        <v>0</v>
      </c>
      <c r="G24" s="24"/>
      <c r="H24" s="21"/>
      <c r="I24" s="21"/>
      <c r="J24" s="21"/>
      <c r="K24" s="22">
        <f t="shared" si="1"/>
        <v>0</v>
      </c>
      <c r="L24" s="24"/>
      <c r="M24" s="21"/>
    </row>
    <row r="25" spans="1:13" ht="15">
      <c r="A25" s="15" t="s">
        <v>24</v>
      </c>
      <c r="B25" s="15" t="s">
        <v>25</v>
      </c>
      <c r="C25" s="21"/>
      <c r="D25" s="21"/>
      <c r="E25" s="21"/>
      <c r="F25" s="22">
        <f t="shared" si="0"/>
        <v>0</v>
      </c>
      <c r="G25" s="24"/>
      <c r="H25" s="21"/>
      <c r="I25" s="21"/>
      <c r="J25" s="21"/>
      <c r="K25" s="22">
        <f t="shared" si="1"/>
        <v>0</v>
      </c>
      <c r="L25" s="24"/>
      <c r="M25" s="21"/>
    </row>
    <row r="26" spans="1:13" ht="15">
      <c r="A26" s="15" t="s">
        <v>26</v>
      </c>
      <c r="B26" s="15" t="s">
        <v>27</v>
      </c>
      <c r="C26" s="21">
        <v>8150</v>
      </c>
      <c r="D26" s="21"/>
      <c r="E26" s="21"/>
      <c r="F26" s="22">
        <f t="shared" si="0"/>
        <v>-8150</v>
      </c>
      <c r="G26" s="24"/>
      <c r="H26" s="58">
        <v>57910</v>
      </c>
      <c r="I26" s="21"/>
      <c r="J26" s="21"/>
      <c r="K26" s="22">
        <f t="shared" si="1"/>
        <v>-57910</v>
      </c>
      <c r="L26" s="24"/>
      <c r="M26" s="21"/>
    </row>
    <row r="27" spans="3:13" ht="15">
      <c r="C27" s="23" t="s">
        <v>28</v>
      </c>
      <c r="D27" s="21"/>
      <c r="E27" s="23" t="s">
        <v>28</v>
      </c>
      <c r="F27" s="23" t="s">
        <v>28</v>
      </c>
      <c r="G27" s="25" t="s">
        <v>28</v>
      </c>
      <c r="H27" s="23" t="s">
        <v>28</v>
      </c>
      <c r="I27" s="21"/>
      <c r="J27" s="23" t="s">
        <v>28</v>
      </c>
      <c r="K27" s="23" t="s">
        <v>28</v>
      </c>
      <c r="L27" s="25" t="s">
        <v>28</v>
      </c>
      <c r="M27" s="23" t="s">
        <v>28</v>
      </c>
    </row>
    <row r="28" spans="1:13" ht="15">
      <c r="A28" s="16"/>
      <c r="B28" s="17" t="s">
        <v>29</v>
      </c>
      <c r="C28" s="21">
        <f>SUM(C16:C27)</f>
        <v>5497521</v>
      </c>
      <c r="D28" s="21">
        <f>SUM(D16:D27)</f>
        <v>0</v>
      </c>
      <c r="E28" s="21"/>
      <c r="F28" s="21">
        <f>SUM(F16:F27)</f>
        <v>-1262.9699999997392</v>
      </c>
      <c r="G28" s="26"/>
      <c r="H28" s="21">
        <f>SUM(H16:H27)</f>
        <v>30417497.490000002</v>
      </c>
      <c r="I28" s="21">
        <v>24961</v>
      </c>
      <c r="J28" s="21"/>
      <c r="K28" s="21">
        <f>SUM(K16:K27)</f>
        <v>-4813481.479999998</v>
      </c>
      <c r="L28" s="26"/>
      <c r="M28" s="21"/>
    </row>
    <row r="29" spans="3:13" ht="15">
      <c r="C29" s="21"/>
      <c r="D29" s="21"/>
      <c r="E29" s="21"/>
      <c r="F29" s="21"/>
      <c r="G29" s="3"/>
      <c r="H29" s="21"/>
      <c r="I29" s="21"/>
      <c r="J29" s="21"/>
      <c r="K29" s="21"/>
      <c r="L29" s="3"/>
      <c r="M29" s="21"/>
    </row>
    <row r="30" spans="1:13" ht="15.75">
      <c r="A30" s="13"/>
      <c r="B30" s="14" t="s">
        <v>30</v>
      </c>
      <c r="C30" s="21"/>
      <c r="D30" s="21"/>
      <c r="E30" s="21"/>
      <c r="F30" s="21"/>
      <c r="G30" s="27"/>
      <c r="H30" s="21"/>
      <c r="I30" s="21"/>
      <c r="J30" s="21"/>
      <c r="K30" s="21"/>
      <c r="L30" s="27"/>
      <c r="M30" s="21"/>
    </row>
    <row r="31" spans="3:13" ht="15">
      <c r="C31" s="21"/>
      <c r="D31" s="21"/>
      <c r="E31" s="21"/>
      <c r="F31" s="21"/>
      <c r="G31" s="3"/>
      <c r="H31" s="21"/>
      <c r="I31" s="21"/>
      <c r="J31" s="21"/>
      <c r="K31" s="21"/>
      <c r="L31" s="3"/>
      <c r="M31" s="21"/>
    </row>
    <row r="32" spans="1:13" ht="15">
      <c r="A32" s="15" t="s">
        <v>31</v>
      </c>
      <c r="B32" s="15" t="s">
        <v>32</v>
      </c>
      <c r="C32" s="21">
        <v>2224856.96</v>
      </c>
      <c r="D32" s="21"/>
      <c r="E32" s="21">
        <v>2294983.8600000003</v>
      </c>
      <c r="F32" s="21">
        <f>E32-C32</f>
        <v>70126.90000000037</v>
      </c>
      <c r="G32" s="24"/>
      <c r="H32" s="21">
        <v>12843687.73</v>
      </c>
      <c r="I32" s="21"/>
      <c r="J32" s="21">
        <v>12093340.65</v>
      </c>
      <c r="K32" s="21">
        <f>J32-H32</f>
        <v>-750347.0800000001</v>
      </c>
      <c r="L32" s="24"/>
      <c r="M32" s="21"/>
    </row>
    <row r="33" spans="1:13" ht="15">
      <c r="A33" s="15" t="s">
        <v>33</v>
      </c>
      <c r="B33" s="15" t="s">
        <v>34</v>
      </c>
      <c r="C33" s="21">
        <v>752012.44</v>
      </c>
      <c r="D33" s="21"/>
      <c r="E33" s="21">
        <v>955650.19</v>
      </c>
      <c r="F33" s="21">
        <f aca="true" t="shared" si="2" ref="F33:F38">E33-C33</f>
        <v>203637.75</v>
      </c>
      <c r="G33" s="24"/>
      <c r="H33" s="21">
        <v>4216336.9</v>
      </c>
      <c r="I33" s="21"/>
      <c r="J33" s="21">
        <v>4097022.56</v>
      </c>
      <c r="K33" s="21">
        <f aca="true" t="shared" si="3" ref="K33:K38">J33-H33</f>
        <v>-119314.34000000032</v>
      </c>
      <c r="L33" s="24"/>
      <c r="M33" s="21"/>
    </row>
    <row r="34" spans="1:13" ht="15">
      <c r="A34" s="15" t="s">
        <v>35</v>
      </c>
      <c r="B34" s="15" t="s">
        <v>36</v>
      </c>
      <c r="C34" s="21">
        <v>560542.57</v>
      </c>
      <c r="D34" s="21"/>
      <c r="E34" s="21">
        <v>1172875.97</v>
      </c>
      <c r="F34" s="21">
        <f t="shared" si="2"/>
        <v>612333.4</v>
      </c>
      <c r="G34" s="24"/>
      <c r="H34" s="21">
        <v>5817178.879999998</v>
      </c>
      <c r="I34" s="21"/>
      <c r="J34" s="21">
        <v>5000896.9799999995</v>
      </c>
      <c r="K34" s="21">
        <f t="shared" si="3"/>
        <v>-816281.8999999985</v>
      </c>
      <c r="L34" s="24"/>
      <c r="M34" s="21"/>
    </row>
    <row r="35" spans="1:13" ht="15">
      <c r="A35" s="15" t="s">
        <v>37</v>
      </c>
      <c r="B35" s="15" t="s">
        <v>38</v>
      </c>
      <c r="C35" s="21">
        <v>757567.92</v>
      </c>
      <c r="D35" s="21"/>
      <c r="E35" s="21">
        <v>899003.7200000001</v>
      </c>
      <c r="F35" s="21">
        <f t="shared" si="2"/>
        <v>141435.80000000005</v>
      </c>
      <c r="G35" s="24"/>
      <c r="H35" s="21">
        <v>4248718.6</v>
      </c>
      <c r="I35" s="21"/>
      <c r="J35" s="21">
        <v>3891620.48</v>
      </c>
      <c r="K35" s="21">
        <f t="shared" si="3"/>
        <v>-357098.11999999965</v>
      </c>
      <c r="L35" s="24"/>
      <c r="M35" s="21"/>
    </row>
    <row r="36" spans="1:13" ht="15">
      <c r="A36" s="15" t="s">
        <v>39</v>
      </c>
      <c r="B36" s="15" t="s">
        <v>40</v>
      </c>
      <c r="C36" s="21">
        <v>248654.71</v>
      </c>
      <c r="D36" s="21"/>
      <c r="E36" s="21">
        <v>190615.35</v>
      </c>
      <c r="F36" s="21">
        <f t="shared" si="2"/>
        <v>-58039.359999999986</v>
      </c>
      <c r="G36" s="24"/>
      <c r="H36" s="21">
        <v>1423110.93</v>
      </c>
      <c r="I36" s="21"/>
      <c r="J36" s="21">
        <v>1143692.0999999999</v>
      </c>
      <c r="K36" s="21">
        <f t="shared" si="3"/>
        <v>-279418.8300000001</v>
      </c>
      <c r="L36" s="24"/>
      <c r="M36" s="21"/>
    </row>
    <row r="37" spans="1:13" ht="15">
      <c r="A37" s="15" t="s">
        <v>41</v>
      </c>
      <c r="B37" s="15" t="s">
        <v>42</v>
      </c>
      <c r="C37" s="21">
        <v>15792.38</v>
      </c>
      <c r="D37" s="21"/>
      <c r="E37" s="21">
        <v>19800.01</v>
      </c>
      <c r="F37" s="21">
        <f t="shared" si="2"/>
        <v>4007.629999999999</v>
      </c>
      <c r="G37" s="24"/>
      <c r="H37" s="21">
        <v>76625.56</v>
      </c>
      <c r="I37" s="21"/>
      <c r="J37" s="21">
        <v>43800.06</v>
      </c>
      <c r="K37" s="21">
        <f t="shared" si="3"/>
        <v>-32825.5</v>
      </c>
      <c r="L37" s="24"/>
      <c r="M37" s="21"/>
    </row>
    <row r="38" spans="1:13" ht="15">
      <c r="A38" s="15" t="s">
        <v>43</v>
      </c>
      <c r="B38" s="15" t="s">
        <v>44</v>
      </c>
      <c r="C38" s="21">
        <v>43452.88</v>
      </c>
      <c r="D38" s="21"/>
      <c r="E38" s="21">
        <v>311518.87</v>
      </c>
      <c r="F38" s="21">
        <f t="shared" si="2"/>
        <v>268065.99</v>
      </c>
      <c r="G38" s="24"/>
      <c r="H38" s="21">
        <v>390799.07</v>
      </c>
      <c r="I38" s="21"/>
      <c r="J38" s="21">
        <v>722590.21</v>
      </c>
      <c r="K38" s="21">
        <f t="shared" si="3"/>
        <v>331791.13999999996</v>
      </c>
      <c r="L38" s="24"/>
      <c r="M38" s="21"/>
    </row>
    <row r="39" spans="3:13" ht="15">
      <c r="C39" s="23" t="s">
        <v>28</v>
      </c>
      <c r="D39" s="21"/>
      <c r="E39" s="23" t="s">
        <v>28</v>
      </c>
      <c r="F39" s="23" t="s">
        <v>28</v>
      </c>
      <c r="G39" s="25" t="s">
        <v>28</v>
      </c>
      <c r="H39" s="23" t="s">
        <v>28</v>
      </c>
      <c r="I39" s="21"/>
      <c r="J39" s="23" t="s">
        <v>28</v>
      </c>
      <c r="K39" s="23" t="s">
        <v>28</v>
      </c>
      <c r="L39" s="25" t="s">
        <v>28</v>
      </c>
      <c r="M39" s="23" t="s">
        <v>28</v>
      </c>
    </row>
    <row r="40" spans="1:13" ht="15">
      <c r="A40" s="16"/>
      <c r="B40" s="17" t="s">
        <v>45</v>
      </c>
      <c r="C40" s="21">
        <f>SUM(C32:C39)</f>
        <v>4602879.859999999</v>
      </c>
      <c r="D40" s="21">
        <f>SUM(D32:D39)</f>
        <v>0</v>
      </c>
      <c r="E40" s="21">
        <f>SUM(E32:E39)</f>
        <v>5844447.97</v>
      </c>
      <c r="F40" s="21">
        <f>E40-C40</f>
        <v>1241568.1100000003</v>
      </c>
      <c r="G40" s="26"/>
      <c r="H40" s="21">
        <f>SUM(H32:H39)</f>
        <v>29016457.669999998</v>
      </c>
      <c r="I40" s="21">
        <f>SUM(I32:I39)</f>
        <v>0</v>
      </c>
      <c r="J40" s="21">
        <f>SUM(J32:J39)</f>
        <v>26992963.040000003</v>
      </c>
      <c r="K40" s="21">
        <f>J40-H40</f>
        <v>-2023494.6299999952</v>
      </c>
      <c r="L40" s="26"/>
      <c r="M40" s="21"/>
    </row>
    <row r="41" spans="3:13" ht="15">
      <c r="C41" s="23" t="s">
        <v>28</v>
      </c>
      <c r="D41" s="21"/>
      <c r="E41" s="23" t="s">
        <v>28</v>
      </c>
      <c r="F41" s="23" t="s">
        <v>28</v>
      </c>
      <c r="G41" s="25" t="s">
        <v>28</v>
      </c>
      <c r="H41" s="23" t="s">
        <v>28</v>
      </c>
      <c r="I41" s="21"/>
      <c r="J41" s="23" t="s">
        <v>28</v>
      </c>
      <c r="K41" s="23" t="s">
        <v>28</v>
      </c>
      <c r="L41" s="25" t="s">
        <v>28</v>
      </c>
      <c r="M41" s="23" t="s">
        <v>28</v>
      </c>
    </row>
    <row r="42" spans="1:13" ht="15.75">
      <c r="A42" s="18"/>
      <c r="B42" s="19" t="s">
        <v>46</v>
      </c>
      <c r="C42" s="22">
        <f>C28-C40</f>
        <v>894641.1400000006</v>
      </c>
      <c r="D42" s="22">
        <f>D28-D40</f>
        <v>0</v>
      </c>
      <c r="E42" s="22"/>
      <c r="F42" s="22">
        <f>F28-F40</f>
        <v>-1242831.08</v>
      </c>
      <c r="G42" s="26"/>
      <c r="H42" s="22">
        <f>H28-H40</f>
        <v>1401039.820000004</v>
      </c>
      <c r="I42" s="22">
        <f>I28-I40</f>
        <v>24961</v>
      </c>
      <c r="J42" s="22"/>
      <c r="K42" s="22">
        <f>K28-K40</f>
        <v>-2789986.8500000024</v>
      </c>
      <c r="L42" s="26"/>
      <c r="M42" s="22"/>
    </row>
    <row r="43" spans="3:13" ht="15">
      <c r="C43" s="23" t="s">
        <v>47</v>
      </c>
      <c r="D43" s="21"/>
      <c r="E43" s="23" t="s">
        <v>47</v>
      </c>
      <c r="F43" s="23" t="s">
        <v>47</v>
      </c>
      <c r="G43" s="25" t="s">
        <v>47</v>
      </c>
      <c r="H43" s="23" t="s">
        <v>47</v>
      </c>
      <c r="I43" s="21"/>
      <c r="J43" s="23" t="s">
        <v>47</v>
      </c>
      <c r="K43" s="23" t="s">
        <v>47</v>
      </c>
      <c r="L43" s="25" t="s">
        <v>47</v>
      </c>
      <c r="M43" s="23" t="s">
        <v>47</v>
      </c>
    </row>
    <row r="44" spans="3:13" ht="15">
      <c r="C44" s="21"/>
      <c r="D44" s="21"/>
      <c r="E44" s="21"/>
      <c r="F44" s="21"/>
      <c r="G44" s="3"/>
      <c r="H44" s="21"/>
      <c r="I44" s="21"/>
      <c r="J44" s="21"/>
      <c r="K44" s="21"/>
      <c r="L44" s="3"/>
      <c r="M44" s="21"/>
    </row>
    <row r="45" spans="3:13" ht="15">
      <c r="C45" s="21"/>
      <c r="D45" s="21"/>
      <c r="E45" s="21"/>
      <c r="F45" s="21"/>
      <c r="G45" s="3"/>
      <c r="H45" s="21"/>
      <c r="I45" s="21"/>
      <c r="J45" s="21"/>
      <c r="K45" s="21"/>
      <c r="L45" s="3"/>
      <c r="M45" s="21"/>
    </row>
    <row r="46" spans="3:13" ht="15">
      <c r="C46" s="21"/>
      <c r="D46" s="21"/>
      <c r="E46" s="21"/>
      <c r="F46" s="21"/>
      <c r="G46" s="3"/>
      <c r="H46" s="21"/>
      <c r="I46" s="21"/>
      <c r="J46" s="21"/>
      <c r="K46" s="21"/>
      <c r="L46" s="3"/>
      <c r="M46" s="21"/>
    </row>
    <row r="47" spans="3:13" ht="15">
      <c r="C47" s="21"/>
      <c r="D47" s="21"/>
      <c r="E47" s="21"/>
      <c r="F47" s="21"/>
      <c r="G47" s="3"/>
      <c r="H47" s="21"/>
      <c r="I47" s="21"/>
      <c r="J47" s="21"/>
      <c r="K47" s="21"/>
      <c r="L47" s="3"/>
      <c r="M47" s="21"/>
    </row>
    <row r="48" spans="3:13" ht="15">
      <c r="C48" s="21"/>
      <c r="D48" s="21"/>
      <c r="E48" s="21"/>
      <c r="F48" s="21"/>
      <c r="G48" s="3"/>
      <c r="H48" s="21"/>
      <c r="I48" s="21"/>
      <c r="J48" s="21"/>
      <c r="K48" s="21"/>
      <c r="L48" s="3"/>
      <c r="M48" s="21"/>
    </row>
    <row r="49" spans="3:13" ht="15">
      <c r="C49" s="21"/>
      <c r="D49" s="21"/>
      <c r="E49" s="21"/>
      <c r="F49" s="21"/>
      <c r="G49" s="3"/>
      <c r="H49" s="21"/>
      <c r="I49" s="21"/>
      <c r="J49" s="21"/>
      <c r="K49" s="21"/>
      <c r="L49" s="3"/>
      <c r="M49" s="21"/>
    </row>
    <row r="50" spans="1:13" ht="15">
      <c r="A50" s="20" t="s">
        <v>48</v>
      </c>
      <c r="C50" s="21"/>
      <c r="D50" s="21"/>
      <c r="E50" s="21"/>
      <c r="F50" s="21"/>
      <c r="G50" s="3"/>
      <c r="H50" s="21"/>
      <c r="I50" s="21"/>
      <c r="J50" s="21"/>
      <c r="K50" s="21"/>
      <c r="L50" s="3"/>
      <c r="M50" s="28"/>
    </row>
    <row r="51" ht="13.5" thickBot="1">
      <c r="A51" t="s">
        <v>58</v>
      </c>
    </row>
    <row r="52" spans="1:8" ht="12.75">
      <c r="A52" s="30" t="s">
        <v>49</v>
      </c>
      <c r="B52" s="31"/>
      <c r="C52" s="32">
        <f>C28-39759</f>
        <v>5457762</v>
      </c>
      <c r="D52" s="31"/>
      <c r="E52" s="31"/>
      <c r="F52" s="31"/>
      <c r="G52" s="31"/>
      <c r="H52" s="33">
        <f>H28</f>
        <v>30417497.490000002</v>
      </c>
    </row>
    <row r="53" spans="1:11" ht="12.75">
      <c r="A53" s="34" t="s">
        <v>50</v>
      </c>
      <c r="B53" s="35"/>
      <c r="C53" s="36">
        <v>0</v>
      </c>
      <c r="D53" s="37"/>
      <c r="E53" s="37"/>
      <c r="F53" s="35"/>
      <c r="G53" s="35"/>
      <c r="H53" s="38">
        <v>-2562000</v>
      </c>
      <c r="K53" s="1">
        <f>30417497</f>
        <v>30417497</v>
      </c>
    </row>
    <row r="54" spans="1:11" ht="12.75">
      <c r="A54" s="39" t="s">
        <v>51</v>
      </c>
      <c r="B54" s="40"/>
      <c r="C54" s="41">
        <f>SUM(C52:C53)</f>
        <v>5457762</v>
      </c>
      <c r="D54" s="37"/>
      <c r="E54" s="37"/>
      <c r="F54" s="40"/>
      <c r="G54" s="40"/>
      <c r="H54" s="42">
        <f>SUM(H52:H53)</f>
        <v>27855497.490000002</v>
      </c>
      <c r="K54" s="1">
        <v>-5497521</v>
      </c>
    </row>
    <row r="55" spans="1:11" ht="12.75">
      <c r="A55" s="43"/>
      <c r="B55" s="37"/>
      <c r="C55" s="37"/>
      <c r="D55" s="37"/>
      <c r="E55" s="44"/>
      <c r="F55" s="37"/>
      <c r="G55" s="37"/>
      <c r="H55" s="45"/>
      <c r="K55" s="1">
        <f>SUM(K53:K54)</f>
        <v>24919976</v>
      </c>
    </row>
    <row r="56" spans="1:11" ht="12.75">
      <c r="A56" s="43"/>
      <c r="B56" s="37"/>
      <c r="C56" s="37"/>
      <c r="D56" s="37"/>
      <c r="E56" s="37"/>
      <c r="F56" s="37"/>
      <c r="G56" s="37"/>
      <c r="H56" s="45"/>
      <c r="K56" s="1">
        <v>40000</v>
      </c>
    </row>
    <row r="57" spans="1:8" ht="13.5" thickBot="1">
      <c r="A57" s="43"/>
      <c r="B57" s="37"/>
      <c r="C57" s="44"/>
      <c r="D57" s="37"/>
      <c r="E57" s="37"/>
      <c r="F57" s="37"/>
      <c r="G57" s="37"/>
      <c r="H57" s="46"/>
    </row>
    <row r="58" spans="1:8" ht="12.75">
      <c r="A58" s="43" t="s">
        <v>52</v>
      </c>
      <c r="B58" s="37"/>
      <c r="C58" s="44">
        <f>C40</f>
        <v>4602879.859999999</v>
      </c>
      <c r="D58" s="37"/>
      <c r="E58" s="47"/>
      <c r="F58" s="37"/>
      <c r="G58" s="37"/>
      <c r="H58" s="33">
        <f>H40</f>
        <v>29016457.669999998</v>
      </c>
    </row>
    <row r="59" spans="1:8" ht="12.75">
      <c r="A59" s="34" t="s">
        <v>53</v>
      </c>
      <c r="B59" s="35"/>
      <c r="C59" s="44">
        <f>C36*-1</f>
        <v>-248654.71</v>
      </c>
      <c r="D59" s="37"/>
      <c r="E59" s="47"/>
      <c r="F59" s="35"/>
      <c r="G59" s="35"/>
      <c r="H59" s="46">
        <f>H36*-1</f>
        <v>-1423110.93</v>
      </c>
    </row>
    <row r="60" spans="1:8" ht="12.75">
      <c r="A60" s="34" t="s">
        <v>54</v>
      </c>
      <c r="B60" s="35"/>
      <c r="C60" s="48">
        <v>1484681.35</v>
      </c>
      <c r="D60" s="37"/>
      <c r="E60" s="48"/>
      <c r="F60" s="35"/>
      <c r="G60" s="35"/>
      <c r="H60" s="38">
        <v>2642811.35</v>
      </c>
    </row>
    <row r="61" spans="1:8" ht="12.75">
      <c r="A61" s="39" t="s">
        <v>55</v>
      </c>
      <c r="B61" s="40"/>
      <c r="C61" s="49">
        <f>SUM(C58:C60)</f>
        <v>5838906.5</v>
      </c>
      <c r="D61" s="37"/>
      <c r="E61" s="47"/>
      <c r="F61" s="40"/>
      <c r="G61" s="40"/>
      <c r="H61" s="50">
        <f>SUM(H58:H60)</f>
        <v>30236158.09</v>
      </c>
    </row>
    <row r="62" spans="1:8" ht="12.75">
      <c r="A62" s="43"/>
      <c r="B62" s="37"/>
      <c r="C62" s="37"/>
      <c r="D62" s="37"/>
      <c r="E62" s="37"/>
      <c r="F62" s="37"/>
      <c r="G62" s="37"/>
      <c r="H62" s="45"/>
    </row>
    <row r="63" spans="1:8" ht="12.75">
      <c r="A63" s="234" t="s">
        <v>56</v>
      </c>
      <c r="B63" s="235"/>
      <c r="C63" s="37"/>
      <c r="D63" s="37"/>
      <c r="E63" s="37"/>
      <c r="F63" s="29"/>
      <c r="G63" s="29"/>
      <c r="H63" s="45"/>
    </row>
    <row r="64" spans="1:8" ht="12.75">
      <c r="A64" s="234"/>
      <c r="B64" s="235"/>
      <c r="C64" s="36">
        <v>0</v>
      </c>
      <c r="D64" s="37"/>
      <c r="E64" s="37"/>
      <c r="F64" s="29"/>
      <c r="G64" s="29"/>
      <c r="H64" s="38">
        <v>2562000</v>
      </c>
    </row>
    <row r="65" spans="1:8" ht="13.5" thickBot="1">
      <c r="A65" s="43" t="s">
        <v>57</v>
      </c>
      <c r="B65" s="37"/>
      <c r="C65" s="51">
        <f>C54-C61</f>
        <v>-381144.5</v>
      </c>
      <c r="D65" s="37"/>
      <c r="E65" s="37"/>
      <c r="F65" s="37"/>
      <c r="G65" s="37"/>
      <c r="H65" s="52">
        <f>H54-H61+H64</f>
        <v>181339.40000000224</v>
      </c>
    </row>
    <row r="66" spans="1:8" ht="13.5" thickTop="1">
      <c r="A66" s="43"/>
      <c r="B66" s="37"/>
      <c r="C66" s="37"/>
      <c r="D66" s="37"/>
      <c r="E66" s="37"/>
      <c r="F66" s="37"/>
      <c r="G66" s="37"/>
      <c r="H66" s="45"/>
    </row>
    <row r="67" spans="1:8" ht="13.5" thickBot="1">
      <c r="A67" s="53"/>
      <c r="B67" s="54"/>
      <c r="C67" s="54"/>
      <c r="D67" s="54"/>
      <c r="E67" s="54"/>
      <c r="F67" s="54"/>
      <c r="G67" s="54"/>
      <c r="H67" s="55"/>
    </row>
    <row r="70" spans="1:2" ht="12.75">
      <c r="A70" t="s">
        <v>65</v>
      </c>
      <c r="B70" t="s">
        <v>66</v>
      </c>
    </row>
    <row r="71" ht="12.75">
      <c r="B71" t="s">
        <v>67</v>
      </c>
    </row>
  </sheetData>
  <sheetProtection/>
  <mergeCells count="5">
    <mergeCell ref="A63:A64"/>
    <mergeCell ref="B63:B64"/>
    <mergeCell ref="A1:M1"/>
    <mergeCell ref="A3:M3"/>
    <mergeCell ref="A2:M2"/>
  </mergeCells>
  <printOptions/>
  <pageMargins left="0.5" right="0.5" top="0.75" bottom="0.75" header="0.5" footer="0.5"/>
  <pageSetup fitToHeight="1" fitToWidth="1" horizontalDpi="600" verticalDpi="600" orientation="portrait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tabSelected="1" zoomScale="90" zoomScaleNormal="90" workbookViewId="0" topLeftCell="A1">
      <selection activeCell="Q90" sqref="Q90"/>
    </sheetView>
  </sheetViews>
  <sheetFormatPr defaultColWidth="8.7109375" defaultRowHeight="12.75"/>
  <cols>
    <col min="1" max="1" width="25.421875" style="100" customWidth="1"/>
    <col min="2" max="2" width="38.7109375" style="100" customWidth="1"/>
    <col min="3" max="5" width="12.7109375" style="100" hidden="1" customWidth="1"/>
    <col min="6" max="6" width="11.28125" style="100" hidden="1" customWidth="1"/>
    <col min="7" max="7" width="12.57421875" style="100" hidden="1" customWidth="1"/>
    <col min="8" max="8" width="11.421875" style="101" hidden="1" customWidth="1"/>
    <col min="9" max="9" width="10.7109375" style="101" hidden="1" customWidth="1"/>
    <col min="10" max="10" width="11.28125" style="101" hidden="1" customWidth="1"/>
    <col min="11" max="11" width="11.421875" style="101" hidden="1" customWidth="1"/>
    <col min="12" max="12" width="12.140625" style="101" hidden="1" customWidth="1"/>
    <col min="13" max="13" width="12.28125" style="101" hidden="1" customWidth="1"/>
    <col min="14" max="14" width="8.7109375" style="101" hidden="1" customWidth="1"/>
    <col min="15" max="15" width="15.57421875" style="101" customWidth="1"/>
    <col min="16" max="16" width="15.57421875" style="103" customWidth="1"/>
    <col min="17" max="17" width="15.57421875" style="101" customWidth="1"/>
    <col min="18" max="18" width="4.421875" style="187" customWidth="1"/>
    <col min="19" max="19" width="15.57421875" style="101" customWidth="1"/>
    <col min="20" max="20" width="15.57421875" style="103" customWidth="1"/>
    <col min="21" max="21" width="14.421875" style="101" customWidth="1"/>
    <col min="22" max="22" width="4.421875" style="187" customWidth="1"/>
    <col min="23" max="23" width="11.57421875" style="101" hidden="1" customWidth="1"/>
    <col min="24" max="16384" width="8.7109375" style="100" customWidth="1"/>
  </cols>
  <sheetData>
    <row r="1" spans="1:23" ht="18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</row>
    <row r="2" spans="1:23" ht="18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</row>
    <row r="3" spans="1:23" ht="18">
      <c r="A3" s="237" t="s">
        <v>121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</row>
    <row r="7" spans="15:22" ht="15">
      <c r="O7" s="238" t="s">
        <v>122</v>
      </c>
      <c r="P7" s="239"/>
      <c r="Q7" s="239"/>
      <c r="R7" s="102"/>
      <c r="S7" s="240" t="s">
        <v>94</v>
      </c>
      <c r="T7" s="239"/>
      <c r="U7" s="239"/>
      <c r="V7" s="102"/>
    </row>
    <row r="8" spans="18:22" ht="12.75">
      <c r="R8" s="104"/>
      <c r="V8" s="104"/>
    </row>
    <row r="9" spans="3:23" ht="12.75">
      <c r="C9" s="105" t="s">
        <v>109</v>
      </c>
      <c r="D9" s="106" t="s">
        <v>110</v>
      </c>
      <c r="E9" s="106" t="s">
        <v>111</v>
      </c>
      <c r="F9" s="106" t="s">
        <v>112</v>
      </c>
      <c r="G9" s="106" t="s">
        <v>113</v>
      </c>
      <c r="H9" s="105" t="s">
        <v>114</v>
      </c>
      <c r="I9" s="105" t="s">
        <v>115</v>
      </c>
      <c r="J9" s="105" t="s">
        <v>116</v>
      </c>
      <c r="K9" s="105" t="s">
        <v>117</v>
      </c>
      <c r="L9" s="105" t="s">
        <v>118</v>
      </c>
      <c r="M9" s="105" t="s">
        <v>119</v>
      </c>
      <c r="N9" s="105" t="s">
        <v>120</v>
      </c>
      <c r="O9" s="107" t="s">
        <v>86</v>
      </c>
      <c r="P9" s="108" t="s">
        <v>6</v>
      </c>
      <c r="Q9" s="107" t="s">
        <v>4</v>
      </c>
      <c r="R9" s="109"/>
      <c r="S9" s="107" t="s">
        <v>86</v>
      </c>
      <c r="T9" s="108" t="s">
        <v>6</v>
      </c>
      <c r="U9" s="107" t="s">
        <v>4</v>
      </c>
      <c r="V9" s="110"/>
      <c r="W9" s="111"/>
    </row>
    <row r="10" spans="18:22" ht="12.75">
      <c r="R10" s="104"/>
      <c r="V10" s="104"/>
    </row>
    <row r="11" spans="8:23" ht="15">
      <c r="H11" s="112"/>
      <c r="I11" s="112"/>
      <c r="J11" s="112"/>
      <c r="K11" s="112"/>
      <c r="L11" s="112"/>
      <c r="M11" s="112"/>
      <c r="N11" s="112"/>
      <c r="O11" s="112"/>
      <c r="P11" s="113"/>
      <c r="Q11" s="112"/>
      <c r="R11" s="114"/>
      <c r="S11" s="112"/>
      <c r="T11" s="113"/>
      <c r="U11" s="112"/>
      <c r="V11" s="114"/>
      <c r="W11" s="112"/>
    </row>
    <row r="12" spans="8:23" ht="15">
      <c r="H12" s="112"/>
      <c r="I12" s="112"/>
      <c r="J12" s="112"/>
      <c r="K12" s="112"/>
      <c r="L12" s="112"/>
      <c r="M12" s="112"/>
      <c r="N12" s="112"/>
      <c r="O12" s="112"/>
      <c r="P12" s="113"/>
      <c r="Q12" s="112"/>
      <c r="R12" s="114"/>
      <c r="S12" s="112"/>
      <c r="T12" s="113"/>
      <c r="U12" s="112"/>
      <c r="V12" s="114"/>
      <c r="W12" s="112"/>
    </row>
    <row r="13" spans="1:23" ht="15.75">
      <c r="A13" s="115"/>
      <c r="B13" s="116" t="s">
        <v>10</v>
      </c>
      <c r="C13" s="116"/>
      <c r="D13" s="116"/>
      <c r="E13" s="116"/>
      <c r="F13" s="116"/>
      <c r="G13" s="116"/>
      <c r="H13" s="112"/>
      <c r="I13" s="112"/>
      <c r="J13" s="112"/>
      <c r="K13" s="112"/>
      <c r="L13" s="112"/>
      <c r="M13" s="112"/>
      <c r="N13" s="112"/>
      <c r="O13" s="112"/>
      <c r="P13" s="113"/>
      <c r="Q13" s="112"/>
      <c r="R13" s="117"/>
      <c r="S13" s="112"/>
      <c r="T13" s="113"/>
      <c r="U13" s="112"/>
      <c r="V13" s="117"/>
      <c r="W13" s="112"/>
    </row>
    <row r="14" spans="8:23" ht="15">
      <c r="H14" s="112"/>
      <c r="I14" s="112"/>
      <c r="J14" s="112"/>
      <c r="K14" s="112"/>
      <c r="L14" s="112"/>
      <c r="M14" s="112"/>
      <c r="N14" s="112"/>
      <c r="O14" s="118"/>
      <c r="P14" s="113"/>
      <c r="Q14" s="112"/>
      <c r="R14" s="114"/>
      <c r="S14" s="113"/>
      <c r="T14" s="113"/>
      <c r="U14" s="112"/>
      <c r="V14" s="114"/>
      <c r="W14" s="112"/>
    </row>
    <row r="15" spans="1:26" ht="15">
      <c r="A15" s="119">
        <v>40833</v>
      </c>
      <c r="B15" s="119" t="s">
        <v>12</v>
      </c>
      <c r="C15" s="120">
        <v>7971835</v>
      </c>
      <c r="D15" s="124">
        <f>7723270</f>
        <v>7723270</v>
      </c>
      <c r="E15" s="124">
        <v>7579092</v>
      </c>
      <c r="F15" s="120"/>
      <c r="G15" s="120"/>
      <c r="H15" s="122"/>
      <c r="I15" s="120"/>
      <c r="J15" s="122"/>
      <c r="K15" s="120"/>
      <c r="L15" s="120"/>
      <c r="M15" s="120"/>
      <c r="N15" s="123"/>
      <c r="O15" s="122">
        <v>7996745.92</v>
      </c>
      <c r="P15" s="124">
        <v>7495983</v>
      </c>
      <c r="Q15" s="125">
        <f>-O15+P15</f>
        <v>-500762.9199999999</v>
      </c>
      <c r="R15" s="126"/>
      <c r="S15" s="120">
        <v>31986983.67</v>
      </c>
      <c r="T15" s="124">
        <v>30770180</v>
      </c>
      <c r="U15" s="125">
        <f>-S15+T15</f>
        <v>-1216803.6700000018</v>
      </c>
      <c r="V15" s="127"/>
      <c r="W15" s="128"/>
      <c r="X15" s="129"/>
      <c r="Y15" s="129"/>
      <c r="Z15" s="129"/>
    </row>
    <row r="16" spans="1:26" ht="15">
      <c r="A16" s="119" t="s">
        <v>99</v>
      </c>
      <c r="B16" s="119" t="s">
        <v>100</v>
      </c>
      <c r="C16" s="120">
        <v>5729834.67</v>
      </c>
      <c r="D16" s="124">
        <f>1832162.77+1624476.03+1904802.58</f>
        <v>5361441.38</v>
      </c>
      <c r="E16" s="124">
        <f>1841311+1544885+1974640</f>
        <v>5360836</v>
      </c>
      <c r="F16" s="120"/>
      <c r="G16" s="120"/>
      <c r="H16" s="122"/>
      <c r="I16" s="120"/>
      <c r="J16" s="122"/>
      <c r="K16" s="120"/>
      <c r="L16" s="120"/>
      <c r="M16" s="120"/>
      <c r="N16" s="123"/>
      <c r="O16" s="124">
        <v>5887624.92</v>
      </c>
      <c r="P16" s="124">
        <f>1832364.93+1556451.56+1973293.69</f>
        <v>5362110.18</v>
      </c>
      <c r="Q16" s="125">
        <f aca="true" t="shared" si="0" ref="Q16:Q28">-O16+P16</f>
        <v>-525514.7400000002</v>
      </c>
      <c r="R16" s="126"/>
      <c r="S16" s="124">
        <v>23550499.67</v>
      </c>
      <c r="T16" s="124">
        <v>21814222.13</v>
      </c>
      <c r="U16" s="125">
        <f aca="true" t="shared" si="1" ref="U16:U28">-S16+T16</f>
        <v>-1736277.5400000028</v>
      </c>
      <c r="V16" s="127"/>
      <c r="W16" s="128"/>
      <c r="X16" s="129"/>
      <c r="Y16" s="129"/>
      <c r="Z16" s="129"/>
    </row>
    <row r="17" spans="1:26" ht="15">
      <c r="A17" s="119">
        <v>40026</v>
      </c>
      <c r="B17" s="100" t="s">
        <v>98</v>
      </c>
      <c r="C17" s="124">
        <v>47553.37</v>
      </c>
      <c r="D17" s="124">
        <f>542474.41</f>
        <v>542474.41</v>
      </c>
      <c r="E17" s="124">
        <v>735731.56</v>
      </c>
      <c r="F17" s="120"/>
      <c r="G17" s="124"/>
      <c r="H17" s="124"/>
      <c r="I17" s="120"/>
      <c r="J17" s="122"/>
      <c r="K17" s="120"/>
      <c r="L17" s="123"/>
      <c r="M17" s="120"/>
      <c r="N17" s="123"/>
      <c r="O17" s="120">
        <v>0</v>
      </c>
      <c r="P17" s="124">
        <v>1281733.62</v>
      </c>
      <c r="Q17" s="125">
        <f t="shared" si="0"/>
        <v>1281733.62</v>
      </c>
      <c r="R17" s="131"/>
      <c r="S17" s="120">
        <v>0</v>
      </c>
      <c r="T17" s="124">
        <v>2607492.96</v>
      </c>
      <c r="U17" s="125">
        <f t="shared" si="1"/>
        <v>2607492.96</v>
      </c>
      <c r="V17" s="114"/>
      <c r="W17" s="113"/>
      <c r="X17" s="129"/>
      <c r="Y17" s="129"/>
      <c r="Z17" s="129"/>
    </row>
    <row r="18" spans="1:26" ht="15" hidden="1">
      <c r="A18" s="119">
        <v>41086</v>
      </c>
      <c r="B18" s="119" t="s">
        <v>14</v>
      </c>
      <c r="C18" s="124"/>
      <c r="D18" s="124"/>
      <c r="E18" s="124"/>
      <c r="F18" s="120"/>
      <c r="G18" s="124"/>
      <c r="H18" s="124"/>
      <c r="I18" s="120"/>
      <c r="J18" s="122"/>
      <c r="K18" s="120"/>
      <c r="L18" s="120"/>
      <c r="M18" s="120"/>
      <c r="N18" s="123"/>
      <c r="O18" s="120"/>
      <c r="P18" s="124"/>
      <c r="Q18" s="125">
        <f t="shared" si="0"/>
        <v>0</v>
      </c>
      <c r="R18" s="131"/>
      <c r="S18" s="120"/>
      <c r="T18" s="124"/>
      <c r="U18" s="125">
        <f t="shared" si="1"/>
        <v>0</v>
      </c>
      <c r="V18" s="127"/>
      <c r="W18" s="113"/>
      <c r="X18" s="129"/>
      <c r="Y18" s="129"/>
      <c r="Z18" s="129"/>
    </row>
    <row r="19" spans="1:26" ht="15">
      <c r="A19" s="132" t="s">
        <v>106</v>
      </c>
      <c r="B19" s="119" t="s">
        <v>97</v>
      </c>
      <c r="C19" s="124">
        <v>172152.18</v>
      </c>
      <c r="D19" s="124">
        <f>2529.73+24598.81+91485.35</f>
        <v>118613.89000000001</v>
      </c>
      <c r="E19" s="124">
        <f>92269.48+5852.77+25344.53</f>
        <v>123466.78</v>
      </c>
      <c r="F19" s="120"/>
      <c r="G19" s="124"/>
      <c r="H19" s="124"/>
      <c r="I19" s="120"/>
      <c r="J19" s="122"/>
      <c r="K19" s="120"/>
      <c r="L19" s="120"/>
      <c r="M19" s="120"/>
      <c r="N19" s="123"/>
      <c r="O19" s="120">
        <v>0</v>
      </c>
      <c r="P19" s="124">
        <f>-30645.31+21520.36+99844.17</f>
        <v>90719.22</v>
      </c>
      <c r="Q19" s="125">
        <f t="shared" si="0"/>
        <v>90719.22</v>
      </c>
      <c r="R19" s="131"/>
      <c r="S19" s="120">
        <v>0</v>
      </c>
      <c r="T19" s="124">
        <f>373602.98+2907.66+128441.38</f>
        <v>504952.01999999996</v>
      </c>
      <c r="U19" s="125">
        <f t="shared" si="1"/>
        <v>504952.01999999996</v>
      </c>
      <c r="V19" s="127"/>
      <c r="W19" s="113"/>
      <c r="X19" s="129"/>
      <c r="Y19" s="129"/>
      <c r="Z19" s="129"/>
    </row>
    <row r="20" spans="1:23" ht="15" hidden="1">
      <c r="A20" s="119">
        <v>41600</v>
      </c>
      <c r="B20" s="119" t="s">
        <v>25</v>
      </c>
      <c r="C20" s="124"/>
      <c r="D20" s="124"/>
      <c r="E20" s="124"/>
      <c r="F20" s="120"/>
      <c r="G20" s="124"/>
      <c r="H20" s="124"/>
      <c r="I20" s="120"/>
      <c r="J20" s="122"/>
      <c r="K20" s="120"/>
      <c r="L20" s="120"/>
      <c r="M20" s="120"/>
      <c r="N20" s="123"/>
      <c r="O20" s="120"/>
      <c r="P20" s="124"/>
      <c r="Q20" s="125">
        <f t="shared" si="0"/>
        <v>0</v>
      </c>
      <c r="R20" s="114"/>
      <c r="S20" s="120"/>
      <c r="T20" s="124"/>
      <c r="U20" s="125">
        <f t="shared" si="1"/>
        <v>0</v>
      </c>
      <c r="V20" s="127"/>
      <c r="W20" s="112"/>
    </row>
    <row r="21" spans="1:23" ht="15">
      <c r="A21" s="119">
        <v>41601</v>
      </c>
      <c r="B21" s="119" t="s">
        <v>70</v>
      </c>
      <c r="C21" s="124">
        <v>163525.17</v>
      </c>
      <c r="D21" s="124">
        <f>-282583.43</f>
        <v>-282583.43</v>
      </c>
      <c r="E21" s="124">
        <v>-441228.85</v>
      </c>
      <c r="F21" s="120"/>
      <c r="G21" s="124"/>
      <c r="H21" s="124"/>
      <c r="I21" s="120"/>
      <c r="J21" s="122"/>
      <c r="K21" s="120"/>
      <c r="L21" s="120"/>
      <c r="M21" s="120"/>
      <c r="N21" s="123"/>
      <c r="O21" s="120">
        <v>0</v>
      </c>
      <c r="P21" s="124">
        <v>164767.74</v>
      </c>
      <c r="Q21" s="125">
        <f t="shared" si="0"/>
        <v>164767.74</v>
      </c>
      <c r="R21" s="114"/>
      <c r="S21" s="120">
        <v>0</v>
      </c>
      <c r="T21" s="124">
        <v>-395519.37</v>
      </c>
      <c r="U21" s="125">
        <f t="shared" si="1"/>
        <v>-395519.37</v>
      </c>
      <c r="V21" s="127"/>
      <c r="W21" s="112"/>
    </row>
    <row r="22" spans="1:23" ht="15" hidden="1">
      <c r="A22" s="133">
        <v>41576</v>
      </c>
      <c r="B22" s="119" t="s">
        <v>62</v>
      </c>
      <c r="C22" s="124"/>
      <c r="D22" s="124"/>
      <c r="E22" s="124"/>
      <c r="F22" s="120"/>
      <c r="G22" s="124"/>
      <c r="H22" s="124"/>
      <c r="I22" s="120"/>
      <c r="J22" s="122"/>
      <c r="K22" s="120"/>
      <c r="L22" s="120"/>
      <c r="M22" s="120"/>
      <c r="N22" s="123"/>
      <c r="O22" s="120"/>
      <c r="P22" s="124"/>
      <c r="Q22" s="125">
        <f t="shared" si="0"/>
        <v>0</v>
      </c>
      <c r="R22" s="117"/>
      <c r="S22" s="120"/>
      <c r="T22" s="124"/>
      <c r="U22" s="125">
        <f t="shared" si="1"/>
        <v>0</v>
      </c>
      <c r="V22" s="114"/>
      <c r="W22" s="112"/>
    </row>
    <row r="23" spans="1:23" ht="15" hidden="1">
      <c r="A23" s="133">
        <v>40832</v>
      </c>
      <c r="B23" s="134" t="s">
        <v>71</v>
      </c>
      <c r="C23" s="124"/>
      <c r="D23" s="124"/>
      <c r="E23" s="124"/>
      <c r="F23" s="120"/>
      <c r="G23" s="124"/>
      <c r="H23" s="124"/>
      <c r="I23" s="120"/>
      <c r="J23" s="122"/>
      <c r="K23" s="120"/>
      <c r="L23" s="120"/>
      <c r="M23" s="120"/>
      <c r="N23" s="123"/>
      <c r="O23" s="120"/>
      <c r="P23" s="124"/>
      <c r="Q23" s="125">
        <f t="shared" si="0"/>
        <v>0</v>
      </c>
      <c r="R23" s="114"/>
      <c r="S23" s="120"/>
      <c r="T23" s="124"/>
      <c r="U23" s="125">
        <f t="shared" si="1"/>
        <v>0</v>
      </c>
      <c r="V23" s="114"/>
      <c r="W23" s="112"/>
    </row>
    <row r="24" spans="1:23" ht="15" hidden="1">
      <c r="A24" s="133">
        <v>41027</v>
      </c>
      <c r="B24" s="134" t="s">
        <v>72</v>
      </c>
      <c r="C24" s="124"/>
      <c r="D24" s="124"/>
      <c r="E24" s="124"/>
      <c r="F24" s="120"/>
      <c r="G24" s="124"/>
      <c r="H24" s="124"/>
      <c r="I24" s="120"/>
      <c r="J24" s="122"/>
      <c r="K24" s="120"/>
      <c r="L24" s="120"/>
      <c r="M24" s="120"/>
      <c r="N24" s="123"/>
      <c r="O24" s="120"/>
      <c r="P24" s="124"/>
      <c r="Q24" s="125">
        <f t="shared" si="0"/>
        <v>0</v>
      </c>
      <c r="R24" s="131"/>
      <c r="S24" s="120"/>
      <c r="T24" s="124"/>
      <c r="U24" s="125">
        <f t="shared" si="1"/>
        <v>0</v>
      </c>
      <c r="V24" s="114"/>
      <c r="W24" s="112"/>
    </row>
    <row r="25" spans="1:23" ht="15" hidden="1">
      <c r="A25" s="119">
        <v>41023</v>
      </c>
      <c r="B25" s="134" t="s">
        <v>73</v>
      </c>
      <c r="C25" s="124"/>
      <c r="D25" s="124"/>
      <c r="E25" s="124"/>
      <c r="F25" s="120"/>
      <c r="G25" s="124"/>
      <c r="H25" s="124"/>
      <c r="I25" s="120"/>
      <c r="J25" s="122"/>
      <c r="K25" s="120"/>
      <c r="L25" s="120"/>
      <c r="M25" s="120"/>
      <c r="N25" s="123"/>
      <c r="O25" s="120"/>
      <c r="P25" s="124"/>
      <c r="Q25" s="125">
        <f t="shared" si="0"/>
        <v>0</v>
      </c>
      <c r="R25" s="131"/>
      <c r="S25" s="120"/>
      <c r="T25" s="124"/>
      <c r="U25" s="125">
        <f t="shared" si="1"/>
        <v>0</v>
      </c>
      <c r="V25" s="127"/>
      <c r="W25" s="112"/>
    </row>
    <row r="26" spans="1:23" ht="15">
      <c r="A26" s="119">
        <v>41022</v>
      </c>
      <c r="B26" s="134" t="s">
        <v>27</v>
      </c>
      <c r="C26" s="124">
        <v>78917.92</v>
      </c>
      <c r="D26" s="124">
        <f>62895.04</f>
        <v>62895.04</v>
      </c>
      <c r="E26" s="124">
        <v>60711.44</v>
      </c>
      <c r="F26" s="120"/>
      <c r="G26" s="124"/>
      <c r="H26" s="124"/>
      <c r="I26" s="120"/>
      <c r="J26" s="122"/>
      <c r="K26" s="120"/>
      <c r="L26" s="120"/>
      <c r="M26" s="120"/>
      <c r="N26" s="123"/>
      <c r="O26" s="120">
        <v>27953.58</v>
      </c>
      <c r="P26" s="124">
        <v>89239.91</v>
      </c>
      <c r="Q26" s="125">
        <f t="shared" si="0"/>
        <v>61286.33</v>
      </c>
      <c r="R26" s="131"/>
      <c r="S26" s="120">
        <v>111814.33</v>
      </c>
      <c r="T26" s="124">
        <v>291764.31</v>
      </c>
      <c r="U26" s="125">
        <f t="shared" si="1"/>
        <v>179949.97999999998</v>
      </c>
      <c r="V26" s="127"/>
      <c r="W26" s="112"/>
    </row>
    <row r="27" spans="1:23" ht="15" hidden="1">
      <c r="A27" s="135">
        <v>41602</v>
      </c>
      <c r="B27" s="136" t="s">
        <v>75</v>
      </c>
      <c r="C27" s="124">
        <v>0</v>
      </c>
      <c r="D27" s="124">
        <v>0</v>
      </c>
      <c r="E27" s="124">
        <v>0</v>
      </c>
      <c r="F27" s="120"/>
      <c r="G27" s="124"/>
      <c r="H27" s="124"/>
      <c r="I27" s="120"/>
      <c r="J27" s="122"/>
      <c r="K27" s="120"/>
      <c r="L27" s="120"/>
      <c r="M27" s="120"/>
      <c r="N27" s="123"/>
      <c r="O27" s="120">
        <v>0</v>
      </c>
      <c r="P27" s="124"/>
      <c r="Q27" s="125">
        <f t="shared" si="0"/>
        <v>0</v>
      </c>
      <c r="R27" s="131"/>
      <c r="S27" s="120">
        <v>0</v>
      </c>
      <c r="T27" s="124"/>
      <c r="U27" s="125">
        <f t="shared" si="1"/>
        <v>0</v>
      </c>
      <c r="V27" s="127"/>
      <c r="W27" s="112"/>
    </row>
    <row r="28" spans="1:23" ht="25.5">
      <c r="A28" s="99" t="s">
        <v>107</v>
      </c>
      <c r="B28" s="119" t="s">
        <v>74</v>
      </c>
      <c r="C28" s="124">
        <v>188679.97</v>
      </c>
      <c r="D28" s="124">
        <f>22539.94</f>
        <v>22539.94</v>
      </c>
      <c r="E28" s="124">
        <f>96458.36</f>
        <v>96458.36</v>
      </c>
      <c r="F28" s="120"/>
      <c r="G28" s="124"/>
      <c r="H28" s="124"/>
      <c r="I28" s="120"/>
      <c r="J28" s="122"/>
      <c r="K28" s="120"/>
      <c r="L28" s="120"/>
      <c r="M28" s="120"/>
      <c r="N28" s="123"/>
      <c r="O28" s="120">
        <v>6583.33</v>
      </c>
      <c r="P28" s="124">
        <f>34607.29-20</f>
        <v>34587.29</v>
      </c>
      <c r="Q28" s="125">
        <f t="shared" si="0"/>
        <v>28003.96</v>
      </c>
      <c r="R28" s="131"/>
      <c r="S28" s="120">
        <v>26333.33</v>
      </c>
      <c r="T28" s="124">
        <f>342235.56-20+50</f>
        <v>342265.56</v>
      </c>
      <c r="U28" s="125">
        <f t="shared" si="1"/>
        <v>315932.23</v>
      </c>
      <c r="V28" s="127"/>
      <c r="W28" s="112"/>
    </row>
    <row r="29" spans="1:23" ht="15" hidden="1">
      <c r="A29" s="135">
        <v>41056</v>
      </c>
      <c r="B29" s="137" t="s">
        <v>87</v>
      </c>
      <c r="C29" s="124"/>
      <c r="D29" s="138"/>
      <c r="E29" s="120"/>
      <c r="F29" s="120"/>
      <c r="G29" s="124"/>
      <c r="H29" s="124"/>
      <c r="I29" s="120"/>
      <c r="J29" s="122"/>
      <c r="K29" s="120"/>
      <c r="L29" s="120"/>
      <c r="M29" s="120"/>
      <c r="N29" s="123"/>
      <c r="O29" s="120">
        <v>0</v>
      </c>
      <c r="P29" s="124"/>
      <c r="Q29" s="120">
        <f>-O29+P29</f>
        <v>0</v>
      </c>
      <c r="R29" s="131"/>
      <c r="S29" s="120">
        <v>0</v>
      </c>
      <c r="T29" s="124"/>
      <c r="U29" s="125">
        <f>-S29+T29</f>
        <v>0</v>
      </c>
      <c r="V29" s="127"/>
      <c r="W29" s="112"/>
    </row>
    <row r="30" spans="3:23" ht="15">
      <c r="C30" s="139" t="s">
        <v>28</v>
      </c>
      <c r="D30" s="139" t="s">
        <v>28</v>
      </c>
      <c r="E30" s="140" t="s">
        <v>28</v>
      </c>
      <c r="F30" s="140" t="s">
        <v>28</v>
      </c>
      <c r="G30" s="140" t="s">
        <v>28</v>
      </c>
      <c r="H30" s="140" t="s">
        <v>28</v>
      </c>
      <c r="I30" s="140" t="s">
        <v>28</v>
      </c>
      <c r="J30" s="141" t="s">
        <v>28</v>
      </c>
      <c r="K30" s="139"/>
      <c r="L30" s="142" t="s">
        <v>28</v>
      </c>
      <c r="M30" s="142"/>
      <c r="N30" s="142"/>
      <c r="O30" s="139" t="s">
        <v>28</v>
      </c>
      <c r="P30" s="140" t="s">
        <v>28</v>
      </c>
      <c r="Q30" s="139" t="s">
        <v>28</v>
      </c>
      <c r="R30" s="143" t="s">
        <v>28</v>
      </c>
      <c r="S30" s="139" t="s">
        <v>28</v>
      </c>
      <c r="T30" s="140" t="s">
        <v>28</v>
      </c>
      <c r="U30" s="139" t="s">
        <v>28</v>
      </c>
      <c r="V30" s="144" t="s">
        <v>28</v>
      </c>
      <c r="W30" s="145" t="s">
        <v>28</v>
      </c>
    </row>
    <row r="31" spans="1:23" ht="15">
      <c r="A31" s="146"/>
      <c r="B31" s="147" t="s">
        <v>29</v>
      </c>
      <c r="C31" s="120">
        <f aca="true" t="shared" si="2" ref="C31:M31">SUM(C15:C30)</f>
        <v>14352498.28</v>
      </c>
      <c r="D31" s="125">
        <f t="shared" si="2"/>
        <v>13548651.229999999</v>
      </c>
      <c r="E31" s="120">
        <f t="shared" si="2"/>
        <v>13515067.29</v>
      </c>
      <c r="F31" s="120">
        <f t="shared" si="2"/>
        <v>0</v>
      </c>
      <c r="G31" s="120">
        <f t="shared" si="2"/>
        <v>0</v>
      </c>
      <c r="H31" s="120">
        <f t="shared" si="2"/>
        <v>0</v>
      </c>
      <c r="I31" s="120">
        <f t="shared" si="2"/>
        <v>0</v>
      </c>
      <c r="J31" s="122">
        <f t="shared" si="2"/>
        <v>0</v>
      </c>
      <c r="K31" s="122">
        <f t="shared" si="2"/>
        <v>0</v>
      </c>
      <c r="L31" s="122">
        <f t="shared" si="2"/>
        <v>0</v>
      </c>
      <c r="M31" s="122">
        <f t="shared" si="2"/>
        <v>0</v>
      </c>
      <c r="N31" s="123"/>
      <c r="O31" s="120">
        <f>SUM(O15:O30)</f>
        <v>13918907.75</v>
      </c>
      <c r="P31" s="120">
        <f>SUM(P15:P30)</f>
        <v>14519140.96</v>
      </c>
      <c r="Q31" s="125">
        <f>SUM(Q15:Q30)</f>
        <v>600233.2099999998</v>
      </c>
      <c r="R31" s="131"/>
      <c r="S31" s="120">
        <f>SUM(S15:S30)</f>
        <v>55675631</v>
      </c>
      <c r="T31" s="120">
        <f>SUM(T15:T30)</f>
        <v>55935357.61000001</v>
      </c>
      <c r="U31" s="125">
        <f>SUM(U15:U30)</f>
        <v>259726.60999999527</v>
      </c>
      <c r="V31" s="148"/>
      <c r="W31" s="112"/>
    </row>
    <row r="32" spans="1:23" ht="15">
      <c r="A32" s="146"/>
      <c r="B32" s="149"/>
      <c r="C32" s="125"/>
      <c r="D32" s="125"/>
      <c r="E32" s="120"/>
      <c r="F32" s="120"/>
      <c r="G32" s="120"/>
      <c r="H32" s="120"/>
      <c r="I32" s="120"/>
      <c r="J32" s="150"/>
      <c r="K32" s="125"/>
      <c r="L32" s="118"/>
      <c r="M32" s="118"/>
      <c r="N32" s="118"/>
      <c r="O32" s="125"/>
      <c r="P32" s="120"/>
      <c r="Q32" s="125"/>
      <c r="R32" s="131"/>
      <c r="S32" s="125"/>
      <c r="T32" s="120"/>
      <c r="U32" s="125"/>
      <c r="V32" s="148"/>
      <c r="W32" s="112"/>
    </row>
    <row r="33" spans="3:23" ht="15">
      <c r="C33" s="125"/>
      <c r="D33" s="130"/>
      <c r="E33" s="120"/>
      <c r="F33" s="120"/>
      <c r="G33" s="120"/>
      <c r="H33" s="120"/>
      <c r="I33" s="120"/>
      <c r="J33" s="125"/>
      <c r="K33" s="125"/>
      <c r="L33" s="118"/>
      <c r="M33" s="118"/>
      <c r="N33" s="118"/>
      <c r="O33" s="125"/>
      <c r="P33" s="120"/>
      <c r="Q33" s="125"/>
      <c r="R33" s="131"/>
      <c r="S33" s="125"/>
      <c r="T33" s="120"/>
      <c r="U33" s="125"/>
      <c r="V33" s="114"/>
      <c r="W33" s="112"/>
    </row>
    <row r="34" spans="1:23" ht="15.75">
      <c r="A34" s="115"/>
      <c r="B34" s="116" t="s">
        <v>88</v>
      </c>
      <c r="C34" s="125"/>
      <c r="D34" s="151"/>
      <c r="E34" s="120"/>
      <c r="F34" s="120"/>
      <c r="G34" s="120"/>
      <c r="H34" s="120"/>
      <c r="I34" s="120"/>
      <c r="J34" s="125"/>
      <c r="K34" s="125"/>
      <c r="L34" s="118"/>
      <c r="M34" s="118"/>
      <c r="N34" s="118"/>
      <c r="O34" s="125"/>
      <c r="P34" s="120"/>
      <c r="Q34" s="125"/>
      <c r="R34" s="131"/>
      <c r="S34" s="125"/>
      <c r="T34" s="120"/>
      <c r="U34" s="125"/>
      <c r="V34" s="117"/>
      <c r="W34" s="112"/>
    </row>
    <row r="35" spans="3:23" ht="15">
      <c r="C35" s="125"/>
      <c r="D35" s="130"/>
      <c r="E35" s="120"/>
      <c r="F35" s="120"/>
      <c r="G35" s="120"/>
      <c r="H35" s="120"/>
      <c r="I35" s="120"/>
      <c r="J35" s="125"/>
      <c r="K35" s="125"/>
      <c r="L35" s="118"/>
      <c r="M35" s="118"/>
      <c r="N35" s="118"/>
      <c r="P35" s="120"/>
      <c r="Q35" s="125"/>
      <c r="R35" s="131"/>
      <c r="S35" s="125"/>
      <c r="T35" s="120"/>
      <c r="U35" s="125"/>
      <c r="V35" s="114"/>
      <c r="W35" s="112"/>
    </row>
    <row r="36" spans="1:23" ht="15">
      <c r="A36" s="99"/>
      <c r="B36" s="98" t="s">
        <v>105</v>
      </c>
      <c r="C36" s="120">
        <v>6370568.85</v>
      </c>
      <c r="D36" s="120">
        <f>8765048.82+22426.92</f>
        <v>8787475.74</v>
      </c>
      <c r="E36" s="120">
        <f>13069804.05+14404.86</f>
        <v>13084208.91</v>
      </c>
      <c r="F36" s="120"/>
      <c r="G36" s="120"/>
      <c r="H36" s="120"/>
      <c r="I36" s="120"/>
      <c r="J36" s="122"/>
      <c r="K36" s="120"/>
      <c r="L36" s="120"/>
      <c r="M36" s="120"/>
      <c r="N36" s="123"/>
      <c r="O36" s="185">
        <f>563483.33+11469210.58+47692.17+83.67</f>
        <v>12080469.75</v>
      </c>
      <c r="P36" s="120">
        <f>12897.68+7386975.49</f>
        <v>7399873.17</v>
      </c>
      <c r="Q36" s="120">
        <f>+O36-P36</f>
        <v>4680596.58</v>
      </c>
      <c r="R36" s="131"/>
      <c r="S36" s="120">
        <f>2253933.33+45876842.33+190768.67+334.67</f>
        <v>48321879</v>
      </c>
      <c r="T36" s="120">
        <f>49729.46+35592397.21</f>
        <v>35642126.67</v>
      </c>
      <c r="U36" s="125">
        <f>+S36-T36</f>
        <v>12679752.329999998</v>
      </c>
      <c r="V36" s="127"/>
      <c r="W36" s="112"/>
    </row>
    <row r="37" spans="1:23" ht="15">
      <c r="A37" s="132"/>
      <c r="B37" s="98" t="s">
        <v>101</v>
      </c>
      <c r="C37" s="120">
        <v>2317675.17</v>
      </c>
      <c r="D37" s="120">
        <v>2428238.67</v>
      </c>
      <c r="E37" s="120">
        <v>2692169.12</v>
      </c>
      <c r="F37" s="120"/>
      <c r="G37" s="120"/>
      <c r="H37" s="120"/>
      <c r="I37" s="120"/>
      <c r="J37" s="122"/>
      <c r="K37" s="120"/>
      <c r="L37" s="120"/>
      <c r="M37" s="120"/>
      <c r="N37" s="123"/>
      <c r="O37" s="120">
        <v>2175060.75</v>
      </c>
      <c r="P37" s="122">
        <v>2479112.48</v>
      </c>
      <c r="Q37" s="120">
        <f>+O37-P37</f>
        <v>-304051.73</v>
      </c>
      <c r="R37" s="131"/>
      <c r="S37" s="120">
        <v>8700243</v>
      </c>
      <c r="T37" s="120">
        <v>9917195.44</v>
      </c>
      <c r="U37" s="125">
        <f>+S37-T37</f>
        <v>-1216952.4399999995</v>
      </c>
      <c r="V37" s="127"/>
      <c r="W37" s="112"/>
    </row>
    <row r="38" spans="1:23" ht="15">
      <c r="A38" s="132"/>
      <c r="B38" s="152" t="s">
        <v>102</v>
      </c>
      <c r="C38" s="120">
        <v>30294.51</v>
      </c>
      <c r="D38" s="120">
        <v>15527.51</v>
      </c>
      <c r="E38" s="120">
        <v>22133.6</v>
      </c>
      <c r="F38" s="120"/>
      <c r="G38" s="120"/>
      <c r="H38" s="120"/>
      <c r="I38" s="120"/>
      <c r="J38" s="122"/>
      <c r="K38" s="120"/>
      <c r="L38" s="120"/>
      <c r="M38" s="120"/>
      <c r="N38" s="123"/>
      <c r="O38" s="120">
        <v>15323.42</v>
      </c>
      <c r="P38" s="120">
        <v>20618.27</v>
      </c>
      <c r="Q38" s="120">
        <f>+O38-P38</f>
        <v>-5294.85</v>
      </c>
      <c r="R38" s="131"/>
      <c r="S38" s="120">
        <v>61293.67</v>
      </c>
      <c r="T38" s="120">
        <v>88573.89</v>
      </c>
      <c r="U38" s="125">
        <f>+S38-T38</f>
        <v>-27280.22</v>
      </c>
      <c r="V38" s="127"/>
      <c r="W38" s="112"/>
    </row>
    <row r="39" spans="1:23" ht="15">
      <c r="A39" s="132"/>
      <c r="B39" s="152" t="s">
        <v>104</v>
      </c>
      <c r="C39" s="120">
        <v>36851.3</v>
      </c>
      <c r="D39" s="120">
        <v>36734.59</v>
      </c>
      <c r="E39" s="120">
        <v>32705.26</v>
      </c>
      <c r="F39" s="120"/>
      <c r="G39" s="120"/>
      <c r="H39" s="120"/>
      <c r="I39" s="120"/>
      <c r="J39" s="122"/>
      <c r="K39" s="120"/>
      <c r="L39" s="120"/>
      <c r="M39" s="120"/>
      <c r="N39" s="123"/>
      <c r="O39" s="120">
        <v>175641.67</v>
      </c>
      <c r="P39" s="120">
        <v>28297.44</v>
      </c>
      <c r="Q39" s="120">
        <f>+O39-P39</f>
        <v>147344.23</v>
      </c>
      <c r="R39" s="131"/>
      <c r="S39" s="120">
        <v>702566.67</v>
      </c>
      <c r="T39" s="120">
        <v>134588.59</v>
      </c>
      <c r="U39" s="125">
        <f>+S39-T39</f>
        <v>567978.0800000001</v>
      </c>
      <c r="V39" s="127"/>
      <c r="W39" s="112"/>
    </row>
    <row r="40" spans="1:23" ht="15">
      <c r="A40" s="99"/>
      <c r="B40" s="153" t="s">
        <v>103</v>
      </c>
      <c r="C40" s="120">
        <f>86566.08-9958.59</f>
        <v>76607.49</v>
      </c>
      <c r="D40" s="122">
        <f>23246.54+92153.69</f>
        <v>115400.23000000001</v>
      </c>
      <c r="E40" s="122">
        <f>916390.86+439378.13</f>
        <v>1355768.99</v>
      </c>
      <c r="F40" s="120"/>
      <c r="G40" s="120"/>
      <c r="H40" s="120"/>
      <c r="I40" s="120"/>
      <c r="J40" s="122"/>
      <c r="K40" s="120"/>
      <c r="L40" s="120"/>
      <c r="M40" s="120"/>
      <c r="N40" s="123"/>
      <c r="O40" s="120">
        <f>90089.17</f>
        <v>90089.17</v>
      </c>
      <c r="P40" s="122">
        <f>202944.76+6879.48</f>
        <v>209824.24000000002</v>
      </c>
      <c r="Q40" s="125">
        <f>+O40-P40</f>
        <v>-119735.07000000002</v>
      </c>
      <c r="R40" s="131"/>
      <c r="S40" s="120">
        <v>360356.67</v>
      </c>
      <c r="T40" s="120">
        <f>1033082.96+724517.99</f>
        <v>1757600.95</v>
      </c>
      <c r="U40" s="125">
        <f>+S40-T40</f>
        <v>-1397244.28</v>
      </c>
      <c r="V40" s="127"/>
      <c r="W40" s="112"/>
    </row>
    <row r="41" spans="3:23" ht="15">
      <c r="C41" s="139" t="s">
        <v>28</v>
      </c>
      <c r="D41" s="139" t="s">
        <v>28</v>
      </c>
      <c r="E41" s="140" t="s">
        <v>28</v>
      </c>
      <c r="F41" s="140" t="s">
        <v>28</v>
      </c>
      <c r="G41" s="140" t="s">
        <v>28</v>
      </c>
      <c r="H41" s="140" t="s">
        <v>28</v>
      </c>
      <c r="I41" s="140" t="s">
        <v>28</v>
      </c>
      <c r="J41" s="141" t="s">
        <v>28</v>
      </c>
      <c r="K41" s="139"/>
      <c r="L41" s="142" t="s">
        <v>28</v>
      </c>
      <c r="M41" s="142"/>
      <c r="N41" s="142"/>
      <c r="O41" s="139" t="s">
        <v>28</v>
      </c>
      <c r="P41" s="140" t="s">
        <v>28</v>
      </c>
      <c r="Q41" s="139" t="s">
        <v>28</v>
      </c>
      <c r="R41" s="143" t="s">
        <v>28</v>
      </c>
      <c r="S41" s="139" t="s">
        <v>28</v>
      </c>
      <c r="T41" s="140" t="s">
        <v>28</v>
      </c>
      <c r="U41" s="139" t="s">
        <v>28</v>
      </c>
      <c r="V41" s="144" t="s">
        <v>28</v>
      </c>
      <c r="W41" s="145" t="s">
        <v>28</v>
      </c>
    </row>
    <row r="42" spans="1:23" ht="15">
      <c r="A42" s="146"/>
      <c r="B42" s="147" t="s">
        <v>45</v>
      </c>
      <c r="C42" s="154">
        <f aca="true" t="shared" si="3" ref="C42:M42">SUM(C36:C41)</f>
        <v>8831997.32</v>
      </c>
      <c r="D42" s="154">
        <f t="shared" si="3"/>
        <v>11383376.74</v>
      </c>
      <c r="E42" s="155">
        <f t="shared" si="3"/>
        <v>17186985.88</v>
      </c>
      <c r="F42" s="155">
        <f t="shared" si="3"/>
        <v>0</v>
      </c>
      <c r="G42" s="155">
        <f t="shared" si="3"/>
        <v>0</v>
      </c>
      <c r="H42" s="155">
        <f t="shared" si="3"/>
        <v>0</v>
      </c>
      <c r="I42" s="120">
        <f t="shared" si="3"/>
        <v>0</v>
      </c>
      <c r="J42" s="156">
        <f t="shared" si="3"/>
        <v>0</v>
      </c>
      <c r="K42" s="156">
        <f t="shared" si="3"/>
        <v>0</v>
      </c>
      <c r="L42" s="156">
        <f t="shared" si="3"/>
        <v>0</v>
      </c>
      <c r="M42" s="156">
        <f t="shared" si="3"/>
        <v>0</v>
      </c>
      <c r="N42" s="157"/>
      <c r="O42" s="155">
        <f>SUM(O36:O41)</f>
        <v>14536584.76</v>
      </c>
      <c r="P42" s="155">
        <f>SUM(P36:P41)</f>
        <v>10137725.6</v>
      </c>
      <c r="Q42" s="125">
        <f>O42-P42</f>
        <v>4398859.16</v>
      </c>
      <c r="R42" s="158"/>
      <c r="S42" s="155">
        <f>SUM(S36:S41)</f>
        <v>58146339.010000005</v>
      </c>
      <c r="T42" s="155">
        <f>SUM(T36:T41)</f>
        <v>47540085.54000001</v>
      </c>
      <c r="U42" s="125">
        <f>S42-T42</f>
        <v>10606253.469999999</v>
      </c>
      <c r="V42" s="159"/>
      <c r="W42" s="112"/>
    </row>
    <row r="43" spans="3:23" ht="15">
      <c r="C43" s="161" t="s">
        <v>28</v>
      </c>
      <c r="D43" s="161" t="s">
        <v>28</v>
      </c>
      <c r="E43" s="162" t="s">
        <v>28</v>
      </c>
      <c r="F43" s="162" t="s">
        <v>28</v>
      </c>
      <c r="G43" s="162" t="s">
        <v>28</v>
      </c>
      <c r="H43" s="162" t="s">
        <v>28</v>
      </c>
      <c r="I43" s="162" t="s">
        <v>28</v>
      </c>
      <c r="J43" s="163" t="s">
        <v>28</v>
      </c>
      <c r="K43" s="161"/>
      <c r="L43" s="164" t="s">
        <v>28</v>
      </c>
      <c r="M43" s="164"/>
      <c r="N43" s="164"/>
      <c r="O43" s="162" t="s">
        <v>28</v>
      </c>
      <c r="P43" s="162" t="s">
        <v>28</v>
      </c>
      <c r="Q43" s="161" t="s">
        <v>28</v>
      </c>
      <c r="R43" s="165" t="s">
        <v>28</v>
      </c>
      <c r="S43" s="162" t="s">
        <v>28</v>
      </c>
      <c r="T43" s="162" t="s">
        <v>28</v>
      </c>
      <c r="U43" s="161" t="s">
        <v>28</v>
      </c>
      <c r="V43" s="166" t="s">
        <v>28</v>
      </c>
      <c r="W43" s="145" t="s">
        <v>28</v>
      </c>
    </row>
    <row r="44" spans="1:23" ht="15">
      <c r="A44" s="167"/>
      <c r="B44" s="168" t="s">
        <v>89</v>
      </c>
      <c r="C44" s="120">
        <f aca="true" t="shared" si="4" ref="C44:I44">C31-C42</f>
        <v>5520500.959999999</v>
      </c>
      <c r="D44" s="121">
        <f t="shared" si="4"/>
        <v>2165274.4899999984</v>
      </c>
      <c r="E44" s="120">
        <f t="shared" si="4"/>
        <v>-3671918.59</v>
      </c>
      <c r="F44" s="120">
        <f t="shared" si="4"/>
        <v>0</v>
      </c>
      <c r="G44" s="120">
        <f t="shared" si="4"/>
        <v>0</v>
      </c>
      <c r="H44" s="120">
        <f t="shared" si="4"/>
        <v>0</v>
      </c>
      <c r="I44" s="120">
        <f t="shared" si="4"/>
        <v>0</v>
      </c>
      <c r="J44" s="122">
        <f>J31-J42+1</f>
        <v>1</v>
      </c>
      <c r="K44" s="122">
        <f>K31-K42</f>
        <v>0</v>
      </c>
      <c r="L44" s="122">
        <f>L31-L42</f>
        <v>0</v>
      </c>
      <c r="M44" s="122">
        <f>M31-M42</f>
        <v>0</v>
      </c>
      <c r="N44" s="123"/>
      <c r="O44" s="155">
        <f>+O31-O42</f>
        <v>-617677.0099999998</v>
      </c>
      <c r="P44" s="120">
        <f>P31-P42</f>
        <v>4381415.360000001</v>
      </c>
      <c r="Q44" s="154">
        <f>+Q31+Q42</f>
        <v>4999092.37</v>
      </c>
      <c r="R44" s="158"/>
      <c r="S44" s="155">
        <f>+S31-S42</f>
        <v>-2470708.0100000054</v>
      </c>
      <c r="T44" s="155">
        <f>T31-T42</f>
        <v>8395272.07</v>
      </c>
      <c r="U44" s="154">
        <f>+U31+U42</f>
        <v>10865980.079999994</v>
      </c>
      <c r="V44" s="159"/>
      <c r="W44" s="169"/>
    </row>
    <row r="45" spans="3:23" ht="15">
      <c r="C45" s="170" t="s">
        <v>47</v>
      </c>
      <c r="D45" s="170" t="s">
        <v>47</v>
      </c>
      <c r="E45" s="171"/>
      <c r="F45" s="171"/>
      <c r="G45" s="171"/>
      <c r="H45" s="170" t="s">
        <v>47</v>
      </c>
      <c r="I45" s="170" t="s">
        <v>47</v>
      </c>
      <c r="J45" s="170"/>
      <c r="K45" s="170"/>
      <c r="L45" s="170"/>
      <c r="M45" s="170"/>
      <c r="N45" s="170"/>
      <c r="O45" s="172" t="s">
        <v>47</v>
      </c>
      <c r="P45" s="171"/>
      <c r="Q45" s="172" t="s">
        <v>47</v>
      </c>
      <c r="R45" s="173" t="s">
        <v>47</v>
      </c>
      <c r="S45" s="172" t="s">
        <v>47</v>
      </c>
      <c r="T45" s="171" t="s">
        <v>47</v>
      </c>
      <c r="U45" s="172" t="s">
        <v>47</v>
      </c>
      <c r="V45" s="144" t="s">
        <v>47</v>
      </c>
      <c r="W45" s="145" t="s">
        <v>47</v>
      </c>
    </row>
    <row r="46" spans="8:23" ht="15">
      <c r="H46" s="112"/>
      <c r="I46" s="174"/>
      <c r="J46" s="174"/>
      <c r="K46" s="174"/>
      <c r="L46" s="112"/>
      <c r="M46" s="112"/>
      <c r="N46" s="112"/>
      <c r="O46" s="175"/>
      <c r="P46" s="176"/>
      <c r="Q46" s="175"/>
      <c r="R46" s="177"/>
      <c r="S46" s="175"/>
      <c r="T46" s="176"/>
      <c r="U46" s="175"/>
      <c r="V46" s="178"/>
      <c r="W46" s="112"/>
    </row>
    <row r="47" spans="2:23" ht="15">
      <c r="B47" s="179"/>
      <c r="H47" s="100"/>
      <c r="I47" s="180"/>
      <c r="J47" s="180"/>
      <c r="K47" s="180"/>
      <c r="L47" s="100"/>
      <c r="M47" s="160"/>
      <c r="N47" s="100"/>
      <c r="O47" s="160"/>
      <c r="P47" s="181"/>
      <c r="Q47" s="160"/>
      <c r="R47" s="177"/>
      <c r="S47" s="175"/>
      <c r="T47" s="176"/>
      <c r="U47" s="175"/>
      <c r="V47" s="178"/>
      <c r="W47" s="112"/>
    </row>
    <row r="48" spans="8:23" ht="15">
      <c r="H48" s="100"/>
      <c r="I48" s="180"/>
      <c r="J48" s="180"/>
      <c r="K48" s="180"/>
      <c r="L48" s="100"/>
      <c r="M48" s="100"/>
      <c r="N48" s="100"/>
      <c r="O48" s="160"/>
      <c r="P48" s="181"/>
      <c r="Q48" s="160"/>
      <c r="R48" s="177"/>
      <c r="S48" s="175"/>
      <c r="T48" s="176"/>
      <c r="U48" s="175"/>
      <c r="V48" s="178"/>
      <c r="W48" s="112"/>
    </row>
    <row r="49" spans="8:23" ht="15">
      <c r="H49" s="100"/>
      <c r="I49" s="180"/>
      <c r="J49" s="180"/>
      <c r="K49" s="180"/>
      <c r="L49" s="100"/>
      <c r="M49" s="100"/>
      <c r="N49" s="100"/>
      <c r="O49" s="160"/>
      <c r="P49" s="181"/>
      <c r="Q49" s="160"/>
      <c r="R49" s="177"/>
      <c r="S49" s="175"/>
      <c r="T49" s="176"/>
      <c r="U49" s="175"/>
      <c r="V49" s="178"/>
      <c r="W49" s="112"/>
    </row>
    <row r="50" spans="8:23" ht="15">
      <c r="H50" s="112"/>
      <c r="I50" s="174"/>
      <c r="J50" s="174"/>
      <c r="K50" s="174"/>
      <c r="L50" s="112"/>
      <c r="M50" s="112"/>
      <c r="N50" s="112"/>
      <c r="O50" s="175"/>
      <c r="P50" s="176"/>
      <c r="Q50" s="175"/>
      <c r="R50" s="177"/>
      <c r="S50" s="175"/>
      <c r="T50" s="176"/>
      <c r="U50" s="175"/>
      <c r="V50" s="178"/>
      <c r="W50" s="112"/>
    </row>
    <row r="51" spans="8:23" ht="15">
      <c r="H51" s="112"/>
      <c r="I51" s="174"/>
      <c r="J51" s="174"/>
      <c r="K51" s="174"/>
      <c r="L51" s="112"/>
      <c r="M51" s="112"/>
      <c r="N51" s="112"/>
      <c r="O51" s="175"/>
      <c r="P51" s="176"/>
      <c r="Q51" s="175"/>
      <c r="R51" s="177"/>
      <c r="S51" s="175"/>
      <c r="T51" s="176"/>
      <c r="U51" s="175"/>
      <c r="V51" s="178"/>
      <c r="W51" s="112"/>
    </row>
    <row r="52" spans="1:23" ht="15">
      <c r="A52" s="182"/>
      <c r="H52" s="112"/>
      <c r="I52" s="174"/>
      <c r="J52" s="174"/>
      <c r="K52" s="174"/>
      <c r="L52" s="112"/>
      <c r="M52" s="112"/>
      <c r="N52" s="112"/>
      <c r="O52" s="175"/>
      <c r="P52" s="176"/>
      <c r="Q52" s="175"/>
      <c r="R52" s="177"/>
      <c r="S52" s="175"/>
      <c r="T52" s="176"/>
      <c r="U52" s="175"/>
      <c r="V52" s="178"/>
      <c r="W52" s="183"/>
    </row>
    <row r="53" spans="1:23" ht="15">
      <c r="A53" s="182"/>
      <c r="H53" s="112"/>
      <c r="I53" s="174"/>
      <c r="J53" s="174"/>
      <c r="K53" s="174"/>
      <c r="L53" s="112"/>
      <c r="M53" s="112"/>
      <c r="N53" s="112"/>
      <c r="O53" s="175"/>
      <c r="P53" s="176"/>
      <c r="Q53" s="175"/>
      <c r="R53" s="177"/>
      <c r="S53" s="175"/>
      <c r="T53" s="176"/>
      <c r="U53" s="175"/>
      <c r="V53" s="178"/>
      <c r="W53" s="183"/>
    </row>
    <row r="54" spans="9:21" ht="13.5" thickBot="1">
      <c r="I54" s="184"/>
      <c r="J54" s="184"/>
      <c r="K54" s="184"/>
      <c r="O54" s="150"/>
      <c r="P54" s="185"/>
      <c r="Q54" s="150"/>
      <c r="R54" s="186"/>
      <c r="S54" s="150"/>
      <c r="T54" s="185"/>
      <c r="U54" s="150"/>
    </row>
    <row r="55" spans="1:21" ht="12.75">
      <c r="A55" s="188" t="s">
        <v>49</v>
      </c>
      <c r="B55" s="189"/>
      <c r="C55" s="189"/>
      <c r="D55" s="189"/>
      <c r="E55" s="189"/>
      <c r="F55" s="189"/>
      <c r="G55" s="189"/>
      <c r="H55" s="189"/>
      <c r="I55" s="190"/>
      <c r="J55" s="190"/>
      <c r="K55" s="190"/>
      <c r="L55" s="191"/>
      <c r="M55" s="191"/>
      <c r="N55" s="191"/>
      <c r="O55" s="192"/>
      <c r="P55" s="193">
        <f>+P31</f>
        <v>14519140.96</v>
      </c>
      <c r="Q55" s="192"/>
      <c r="R55" s="194"/>
      <c r="S55" s="194"/>
      <c r="T55" s="195">
        <f>T31</f>
        <v>55935357.61000001</v>
      </c>
      <c r="U55" s="150"/>
    </row>
    <row r="56" spans="1:21" ht="12.75">
      <c r="A56" s="196" t="s">
        <v>83</v>
      </c>
      <c r="B56" s="197"/>
      <c r="C56" s="197"/>
      <c r="D56" s="197"/>
      <c r="E56" s="197"/>
      <c r="F56" s="197"/>
      <c r="G56" s="197"/>
      <c r="H56" s="197"/>
      <c r="I56" s="198"/>
      <c r="J56" s="198"/>
      <c r="K56" s="198"/>
      <c r="L56" s="199"/>
      <c r="M56" s="199"/>
      <c r="N56" s="199"/>
      <c r="O56" s="200"/>
      <c r="P56" s="201">
        <f>-20582.21</f>
        <v>-20582.21</v>
      </c>
      <c r="Q56" s="200"/>
      <c r="R56" s="202"/>
      <c r="S56" s="202"/>
      <c r="T56" s="203">
        <f>+P56</f>
        <v>-20582.21</v>
      </c>
      <c r="U56" s="150"/>
    </row>
    <row r="57" spans="1:21" ht="12.75">
      <c r="A57" s="91" t="s">
        <v>108</v>
      </c>
      <c r="B57" s="197"/>
      <c r="C57" s="197"/>
      <c r="D57" s="197"/>
      <c r="E57" s="197"/>
      <c r="F57" s="197"/>
      <c r="G57" s="197"/>
      <c r="H57" s="197"/>
      <c r="I57" s="198"/>
      <c r="J57" s="198"/>
      <c r="K57" s="198"/>
      <c r="L57" s="199"/>
      <c r="M57" s="199"/>
      <c r="N57" s="199"/>
      <c r="O57" s="200"/>
      <c r="P57" s="201">
        <f>-3019.76</f>
        <v>-3019.76</v>
      </c>
      <c r="Q57" s="200"/>
      <c r="R57" s="202"/>
      <c r="S57" s="202"/>
      <c r="T57" s="203">
        <f>+P57</f>
        <v>-3019.76</v>
      </c>
      <c r="U57" s="150"/>
    </row>
    <row r="58" spans="1:21" ht="12.75">
      <c r="A58" s="204" t="s">
        <v>49</v>
      </c>
      <c r="B58" s="205"/>
      <c r="C58" s="205"/>
      <c r="D58" s="205"/>
      <c r="E58" s="205"/>
      <c r="F58" s="205"/>
      <c r="G58" s="205"/>
      <c r="H58" s="205"/>
      <c r="I58" s="206"/>
      <c r="J58" s="206"/>
      <c r="K58" s="206"/>
      <c r="L58" s="207"/>
      <c r="M58" s="207"/>
      <c r="N58" s="207"/>
      <c r="O58" s="208"/>
      <c r="P58" s="209">
        <f>SUM(P55:P57)</f>
        <v>14495538.99</v>
      </c>
      <c r="Q58" s="210"/>
      <c r="R58" s="211"/>
      <c r="S58" s="211"/>
      <c r="T58" s="212">
        <f>SUM(T55:T57)</f>
        <v>55911755.64000001</v>
      </c>
      <c r="U58" s="150"/>
    </row>
    <row r="59" spans="1:21" ht="12.75">
      <c r="A59" s="213"/>
      <c r="B59" s="214"/>
      <c r="C59" s="214"/>
      <c r="D59" s="214"/>
      <c r="E59" s="214"/>
      <c r="F59" s="214"/>
      <c r="G59" s="214"/>
      <c r="H59" s="214"/>
      <c r="I59" s="215"/>
      <c r="J59" s="215"/>
      <c r="K59" s="215"/>
      <c r="L59" s="214"/>
      <c r="M59" s="214"/>
      <c r="N59" s="214"/>
      <c r="O59" s="216"/>
      <c r="P59" s="217"/>
      <c r="Q59" s="216"/>
      <c r="R59" s="216"/>
      <c r="S59" s="216"/>
      <c r="T59" s="218"/>
      <c r="U59" s="150"/>
    </row>
    <row r="60" spans="1:21" ht="12.75">
      <c r="A60" s="213"/>
      <c r="B60" s="214"/>
      <c r="C60" s="214"/>
      <c r="D60" s="214"/>
      <c r="E60" s="214"/>
      <c r="F60" s="214"/>
      <c r="G60" s="214"/>
      <c r="H60" s="214"/>
      <c r="I60" s="215"/>
      <c r="J60" s="215"/>
      <c r="K60" s="215"/>
      <c r="L60" s="214"/>
      <c r="M60" s="214"/>
      <c r="N60" s="214"/>
      <c r="O60" s="216"/>
      <c r="P60" s="217"/>
      <c r="Q60" s="216"/>
      <c r="R60" s="216"/>
      <c r="S60" s="216"/>
      <c r="T60" s="218"/>
      <c r="U60" s="150"/>
    </row>
    <row r="61" spans="1:21" ht="12.75">
      <c r="A61" s="213"/>
      <c r="B61" s="214"/>
      <c r="C61" s="214"/>
      <c r="D61" s="214"/>
      <c r="E61" s="214"/>
      <c r="F61" s="214"/>
      <c r="G61" s="214"/>
      <c r="H61" s="214"/>
      <c r="I61" s="215"/>
      <c r="J61" s="215"/>
      <c r="K61" s="215"/>
      <c r="L61" s="219"/>
      <c r="M61" s="219"/>
      <c r="N61" s="219"/>
      <c r="O61" s="216"/>
      <c r="P61" s="217"/>
      <c r="Q61" s="216"/>
      <c r="R61" s="216"/>
      <c r="S61" s="216"/>
      <c r="T61" s="218"/>
      <c r="U61" s="150"/>
    </row>
    <row r="62" spans="1:21" ht="12.75">
      <c r="A62" s="213" t="s">
        <v>52</v>
      </c>
      <c r="B62" s="214"/>
      <c r="C62" s="214"/>
      <c r="D62" s="214"/>
      <c r="E62" s="214"/>
      <c r="F62" s="214"/>
      <c r="G62" s="214"/>
      <c r="H62" s="214"/>
      <c r="I62" s="215"/>
      <c r="J62" s="215"/>
      <c r="K62" s="215"/>
      <c r="L62" s="219"/>
      <c r="M62" s="219"/>
      <c r="N62" s="219"/>
      <c r="O62" s="216"/>
      <c r="P62" s="217">
        <f>P42</f>
        <v>10137725.6</v>
      </c>
      <c r="Q62" s="216"/>
      <c r="R62" s="216"/>
      <c r="S62" s="216"/>
      <c r="T62" s="203">
        <f>T42</f>
        <v>47540085.54000001</v>
      </c>
      <c r="U62" s="150"/>
    </row>
    <row r="63" spans="1:21" ht="12.75">
      <c r="A63" s="220" t="s">
        <v>91</v>
      </c>
      <c r="B63" s="197"/>
      <c r="C63" s="197"/>
      <c r="D63" s="197"/>
      <c r="E63" s="197"/>
      <c r="F63" s="197"/>
      <c r="G63" s="197"/>
      <c r="H63" s="197"/>
      <c r="I63" s="215"/>
      <c r="J63" s="215"/>
      <c r="K63" s="215"/>
      <c r="L63" s="219"/>
      <c r="M63" s="219"/>
      <c r="N63" s="219"/>
      <c r="O63" s="216"/>
      <c r="P63" s="217">
        <v>311025.02</v>
      </c>
      <c r="Q63" s="216"/>
      <c r="R63" s="202"/>
      <c r="S63" s="202"/>
      <c r="T63" s="218">
        <v>1210997.72</v>
      </c>
      <c r="U63" s="150"/>
    </row>
    <row r="64" spans="1:21" ht="12.75">
      <c r="A64" s="220" t="s">
        <v>90</v>
      </c>
      <c r="B64" s="197"/>
      <c r="C64" s="197"/>
      <c r="D64" s="197"/>
      <c r="E64" s="197"/>
      <c r="F64" s="197"/>
      <c r="G64" s="197"/>
      <c r="H64" s="197"/>
      <c r="I64" s="215"/>
      <c r="J64" s="215"/>
      <c r="K64" s="215"/>
      <c r="L64" s="221"/>
      <c r="M64" s="221"/>
      <c r="N64" s="221"/>
      <c r="O64" s="216"/>
      <c r="P64" s="217">
        <f>-P40</f>
        <v>-209824.24000000002</v>
      </c>
      <c r="Q64" s="216"/>
      <c r="R64" s="202"/>
      <c r="S64" s="202"/>
      <c r="T64" s="222">
        <f>-T40</f>
        <v>-1757600.95</v>
      </c>
      <c r="U64" s="150"/>
    </row>
    <row r="65" spans="1:21" ht="12.75">
      <c r="A65" s="204" t="s">
        <v>92</v>
      </c>
      <c r="B65" s="205"/>
      <c r="C65" s="205"/>
      <c r="D65" s="205"/>
      <c r="E65" s="205"/>
      <c r="F65" s="205"/>
      <c r="G65" s="205"/>
      <c r="H65" s="205"/>
      <c r="I65" s="206"/>
      <c r="J65" s="206"/>
      <c r="K65" s="206"/>
      <c r="L65" s="223"/>
      <c r="M65" s="223"/>
      <c r="N65" s="223"/>
      <c r="O65" s="208"/>
      <c r="P65" s="209">
        <f>SUM(P62:P64)</f>
        <v>10238926.379999999</v>
      </c>
      <c r="Q65" s="210"/>
      <c r="R65" s="211"/>
      <c r="S65" s="211"/>
      <c r="T65" s="212">
        <f>SUM(T62:T64)</f>
        <v>46993482.31</v>
      </c>
      <c r="U65" s="150"/>
    </row>
    <row r="66" spans="1:21" ht="12.75">
      <c r="A66" s="213"/>
      <c r="B66" s="214"/>
      <c r="C66" s="214"/>
      <c r="D66" s="214"/>
      <c r="E66" s="214"/>
      <c r="F66" s="214"/>
      <c r="G66" s="214"/>
      <c r="H66" s="214"/>
      <c r="I66" s="215"/>
      <c r="J66" s="215"/>
      <c r="K66" s="215"/>
      <c r="L66" s="214"/>
      <c r="M66" s="214"/>
      <c r="N66" s="214"/>
      <c r="O66" s="216"/>
      <c r="P66" s="217"/>
      <c r="Q66" s="216"/>
      <c r="R66" s="216"/>
      <c r="S66" s="216"/>
      <c r="T66" s="218"/>
      <c r="U66" s="150"/>
    </row>
    <row r="67" spans="1:21" ht="12.75" customHeight="1">
      <c r="A67" s="92"/>
      <c r="B67" s="29"/>
      <c r="C67" s="29"/>
      <c r="D67" s="29"/>
      <c r="E67" s="29"/>
      <c r="F67" s="29"/>
      <c r="G67" s="29"/>
      <c r="H67" s="29"/>
      <c r="I67" s="215"/>
      <c r="J67" s="215"/>
      <c r="K67" s="215"/>
      <c r="L67" s="214"/>
      <c r="M67" s="214"/>
      <c r="N67" s="214"/>
      <c r="O67" s="216"/>
      <c r="P67" s="217"/>
      <c r="Q67" s="216"/>
      <c r="R67" s="97"/>
      <c r="S67" s="97"/>
      <c r="T67" s="218"/>
      <c r="U67" s="150"/>
    </row>
    <row r="68" spans="1:25" s="101" customFormat="1" ht="13.5" thickBot="1">
      <c r="A68" s="213" t="s">
        <v>96</v>
      </c>
      <c r="B68" s="214"/>
      <c r="C68" s="214"/>
      <c r="D68" s="214"/>
      <c r="E68" s="214"/>
      <c r="F68" s="214"/>
      <c r="G68" s="214"/>
      <c r="H68" s="214"/>
      <c r="I68" s="206"/>
      <c r="J68" s="206"/>
      <c r="K68" s="206"/>
      <c r="L68" s="207"/>
      <c r="M68" s="207"/>
      <c r="N68" s="207"/>
      <c r="O68" s="208"/>
      <c r="P68" s="224">
        <f>P58-P65</f>
        <v>4256612.610000001</v>
      </c>
      <c r="Q68" s="210"/>
      <c r="R68" s="216"/>
      <c r="S68" s="216"/>
      <c r="T68" s="225">
        <f>T58-T65</f>
        <v>8918273.330000006</v>
      </c>
      <c r="U68" s="150"/>
      <c r="V68" s="187"/>
      <c r="X68" s="100"/>
      <c r="Y68" s="100"/>
    </row>
    <row r="69" spans="1:25" s="101" customFormat="1" ht="13.5" thickTop="1">
      <c r="A69" s="213"/>
      <c r="B69" s="214"/>
      <c r="C69" s="214"/>
      <c r="D69" s="214"/>
      <c r="E69" s="214"/>
      <c r="F69" s="214"/>
      <c r="G69" s="214"/>
      <c r="H69" s="214"/>
      <c r="I69" s="215"/>
      <c r="J69" s="215"/>
      <c r="K69" s="215"/>
      <c r="L69" s="214"/>
      <c r="M69" s="214"/>
      <c r="N69" s="214"/>
      <c r="O69" s="216"/>
      <c r="P69" s="217"/>
      <c r="Q69" s="216"/>
      <c r="R69" s="216"/>
      <c r="S69" s="216"/>
      <c r="T69" s="218"/>
      <c r="U69" s="150"/>
      <c r="V69" s="187"/>
      <c r="X69" s="100"/>
      <c r="Y69" s="100"/>
    </row>
    <row r="70" spans="1:25" s="101" customFormat="1" ht="13.5" thickBot="1">
      <c r="A70" s="226"/>
      <c r="B70" s="227"/>
      <c r="C70" s="227"/>
      <c r="D70" s="227"/>
      <c r="E70" s="227"/>
      <c r="F70" s="227"/>
      <c r="G70" s="227"/>
      <c r="H70" s="227"/>
      <c r="I70" s="228"/>
      <c r="J70" s="228"/>
      <c r="K70" s="228"/>
      <c r="L70" s="227"/>
      <c r="M70" s="227"/>
      <c r="N70" s="227"/>
      <c r="O70" s="229"/>
      <c r="P70" s="230"/>
      <c r="Q70" s="229"/>
      <c r="R70" s="229"/>
      <c r="S70" s="229"/>
      <c r="T70" s="231"/>
      <c r="U70" s="150"/>
      <c r="V70" s="187"/>
      <c r="X70" s="100"/>
      <c r="Y70" s="100"/>
    </row>
    <row r="73" spans="1:25" s="101" customFormat="1" ht="14.25">
      <c r="A73" s="232"/>
      <c r="B73" s="233" t="s">
        <v>93</v>
      </c>
      <c r="C73" s="100"/>
      <c r="D73" s="100"/>
      <c r="E73" s="100"/>
      <c r="F73" s="100"/>
      <c r="G73" s="100"/>
      <c r="P73" s="103"/>
      <c r="R73" s="187"/>
      <c r="T73" s="103"/>
      <c r="V73" s="187"/>
      <c r="X73" s="100"/>
      <c r="Y73" s="100"/>
    </row>
    <row r="74" spans="1:25" s="101" customFormat="1" ht="12.75">
      <c r="A74" s="100"/>
      <c r="B74" s="119"/>
      <c r="C74" s="100"/>
      <c r="D74" s="100"/>
      <c r="E74" s="100"/>
      <c r="F74" s="100"/>
      <c r="G74" s="100"/>
      <c r="P74" s="103"/>
      <c r="R74" s="187"/>
      <c r="T74" s="103"/>
      <c r="V74" s="187"/>
      <c r="X74" s="100"/>
      <c r="Y74" s="100"/>
    </row>
    <row r="108" spans="1:22" ht="39" customHeight="1">
      <c r="A108" s="241" t="s">
        <v>95</v>
      </c>
      <c r="B108" s="242"/>
      <c r="C108" s="242"/>
      <c r="D108" s="242"/>
      <c r="E108" s="242"/>
      <c r="F108" s="242"/>
      <c r="G108" s="242"/>
      <c r="H108" s="242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</row>
  </sheetData>
  <sheetProtection/>
  <mergeCells count="6">
    <mergeCell ref="A1:W1"/>
    <mergeCell ref="A2:W2"/>
    <mergeCell ref="A3:W3"/>
    <mergeCell ref="O7:Q7"/>
    <mergeCell ref="S7:U7"/>
    <mergeCell ref="A108:V108"/>
  </mergeCells>
  <conditionalFormatting sqref="B37">
    <cfRule type="expression" priority="1" dxfId="0">
      <formula>INDIRECT("D"&amp;ROW())="BUDGET"</formula>
    </cfRule>
  </conditionalFormatting>
  <conditionalFormatting sqref="B36">
    <cfRule type="expression" priority="2" dxfId="0">
      <formula>INDIRECT("D"&amp;ROW())="BUDGET"</formula>
    </cfRule>
  </conditionalFormatting>
  <printOptions/>
  <pageMargins left="0.5" right="0.5" top="0.75" bottom="0.75" header="0.5" footer="0.5"/>
  <pageSetup fitToHeight="0" fitToWidth="1" orientation="portrait" scale="59" r:id="rId1"/>
  <headerFooter alignWithMargins="0">
    <oddHeader>&amp;C&amp;"+,Regular"&amp;12&amp;K000000Exhibit 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90" zoomScaleNormal="90" zoomScalePageLayoutView="0" workbookViewId="0" topLeftCell="A1">
      <pane xSplit="2" ySplit="9" topLeftCell="I4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53" sqref="I53"/>
    </sheetView>
  </sheetViews>
  <sheetFormatPr defaultColWidth="9.140625" defaultRowHeight="12.75"/>
  <cols>
    <col min="1" max="1" width="6.421875" style="0" customWidth="1"/>
    <col min="2" max="2" width="56.57421875" style="0" customWidth="1"/>
    <col min="3" max="7" width="17.00390625" style="0" hidden="1" customWidth="1"/>
    <col min="8" max="8" width="14.140625" style="1" hidden="1" customWidth="1"/>
    <col min="9" max="10" width="15.57421875" style="1" customWidth="1"/>
    <col min="11" max="11" width="16.421875" style="1" customWidth="1"/>
    <col min="12" max="12" width="6.57421875" style="2" customWidth="1"/>
    <col min="13" max="13" width="15.57421875" style="1" customWidth="1"/>
    <col min="14" max="14" width="0" style="1" hidden="1" customWidth="1"/>
    <col min="15" max="15" width="15.57421875" style="1" customWidth="1"/>
    <col min="16" max="16" width="14.421875" style="1" bestFit="1" customWidth="1"/>
    <col min="17" max="17" width="5.57421875" style="2" customWidth="1"/>
    <col min="18" max="18" width="11.57421875" style="1" customWidth="1"/>
  </cols>
  <sheetData>
    <row r="1" spans="1:18" ht="18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</row>
    <row r="2" spans="1:18" ht="18">
      <c r="A2" s="236" t="s">
        <v>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</row>
    <row r="3" spans="1:18" ht="18">
      <c r="A3" s="236" t="s">
        <v>81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</row>
    <row r="7" spans="9:17" ht="15">
      <c r="I7" s="4" t="s">
        <v>82</v>
      </c>
      <c r="J7" s="5"/>
      <c r="K7" s="5"/>
      <c r="L7" s="6"/>
      <c r="M7" s="4" t="s">
        <v>2</v>
      </c>
      <c r="N7" s="5"/>
      <c r="O7" s="5"/>
      <c r="P7" s="5"/>
      <c r="Q7" s="6"/>
    </row>
    <row r="9" spans="3:18" ht="12.75">
      <c r="C9" s="82" t="s">
        <v>76</v>
      </c>
      <c r="D9" s="83" t="s">
        <v>77</v>
      </c>
      <c r="E9" s="83" t="s">
        <v>78</v>
      </c>
      <c r="F9" s="83" t="s">
        <v>79</v>
      </c>
      <c r="G9" s="83" t="s">
        <v>80</v>
      </c>
      <c r="H9" s="82">
        <v>40951</v>
      </c>
      <c r="I9" s="8" t="s">
        <v>6</v>
      </c>
      <c r="J9" s="8" t="s">
        <v>3</v>
      </c>
      <c r="K9" s="7" t="s">
        <v>4</v>
      </c>
      <c r="O9" s="8" t="s">
        <v>3</v>
      </c>
      <c r="P9" s="9" t="s">
        <v>4</v>
      </c>
      <c r="Q9" s="10"/>
      <c r="R9" s="8"/>
    </row>
    <row r="11" spans="8:18" ht="15">
      <c r="H11" s="21"/>
      <c r="I11" s="21"/>
      <c r="J11" s="21"/>
      <c r="K11" s="21"/>
      <c r="L11" s="3"/>
      <c r="M11" s="21"/>
      <c r="N11" s="21"/>
      <c r="O11" s="21"/>
      <c r="P11" s="21"/>
      <c r="Q11" s="3"/>
      <c r="R11" s="21"/>
    </row>
    <row r="12" spans="8:18" ht="15">
      <c r="H12" s="21"/>
      <c r="I12" s="21"/>
      <c r="J12" s="21"/>
      <c r="K12" s="21"/>
      <c r="L12" s="3"/>
      <c r="M12" s="21"/>
      <c r="N12" s="21"/>
      <c r="O12" s="21"/>
      <c r="P12" s="21"/>
      <c r="Q12" s="3"/>
      <c r="R12" s="21"/>
    </row>
    <row r="13" spans="1:18" ht="15.75">
      <c r="A13" s="13"/>
      <c r="B13" s="14" t="s">
        <v>10</v>
      </c>
      <c r="C13" s="14"/>
      <c r="D13" s="14"/>
      <c r="E13" s="14"/>
      <c r="F13" s="14"/>
      <c r="G13" s="14"/>
      <c r="H13" s="21"/>
      <c r="I13" s="21"/>
      <c r="J13" s="21"/>
      <c r="K13" s="21"/>
      <c r="L13" s="27"/>
      <c r="M13" s="21"/>
      <c r="N13" s="21"/>
      <c r="O13" s="21"/>
      <c r="P13" s="21"/>
      <c r="Q13" s="27"/>
      <c r="R13" s="21"/>
    </row>
    <row r="14" spans="8:18" ht="15">
      <c r="H14" s="21"/>
      <c r="I14" s="21"/>
      <c r="J14" s="80"/>
      <c r="K14" s="21"/>
      <c r="L14" s="3"/>
      <c r="M14" s="21"/>
      <c r="N14" s="21"/>
      <c r="O14" s="21"/>
      <c r="P14" s="21"/>
      <c r="Q14" s="3"/>
      <c r="R14" s="21"/>
    </row>
    <row r="15" spans="1:24" ht="15">
      <c r="A15" s="15">
        <v>40833</v>
      </c>
      <c r="B15" s="15" t="s">
        <v>12</v>
      </c>
      <c r="C15" s="81">
        <v>4048774.67</v>
      </c>
      <c r="D15" s="81">
        <v>4374200.58</v>
      </c>
      <c r="E15" s="81">
        <v>4432694.55</v>
      </c>
      <c r="F15" s="81">
        <v>4258309.67</v>
      </c>
      <c r="G15" s="81">
        <v>4572724.94</v>
      </c>
      <c r="H15" s="80">
        <v>5075292</v>
      </c>
      <c r="I15" s="80">
        <v>5621286</v>
      </c>
      <c r="J15" s="72">
        <v>5866541</v>
      </c>
      <c r="K15" s="80">
        <f aca="true" t="shared" si="0" ref="K15:K27">J15-H15</f>
        <v>791249</v>
      </c>
      <c r="L15" s="79"/>
      <c r="M15" s="72">
        <f>SUM(C15:I15)</f>
        <v>32383282.41</v>
      </c>
      <c r="N15" s="80"/>
      <c r="O15" s="87">
        <f>25183050.01+J15</f>
        <v>31049591.01</v>
      </c>
      <c r="P15" s="80">
        <f>O15-M15</f>
        <v>-1333691.3999999985</v>
      </c>
      <c r="Q15" s="24"/>
      <c r="R15" s="89"/>
      <c r="S15" s="86"/>
      <c r="T15" s="86"/>
      <c r="U15" s="86"/>
      <c r="V15" s="86"/>
      <c r="W15" s="86"/>
      <c r="X15" s="86"/>
    </row>
    <row r="16" spans="3:24" ht="15">
      <c r="C16" s="78"/>
      <c r="D16" s="78"/>
      <c r="E16" s="78"/>
      <c r="F16" s="78"/>
      <c r="G16" s="78"/>
      <c r="H16" s="80"/>
      <c r="I16" s="80"/>
      <c r="J16" s="80"/>
      <c r="K16" s="80">
        <f t="shared" si="0"/>
        <v>0</v>
      </c>
      <c r="L16" s="79"/>
      <c r="M16" s="72"/>
      <c r="N16" s="80"/>
      <c r="O16" s="80"/>
      <c r="P16" s="80"/>
      <c r="Q16" s="3"/>
      <c r="R16" s="88"/>
      <c r="S16" s="86"/>
      <c r="T16" s="86"/>
      <c r="U16" s="86"/>
      <c r="V16" s="86"/>
      <c r="W16" s="86"/>
      <c r="X16" s="86"/>
    </row>
    <row r="17" spans="1:24" ht="15">
      <c r="A17" s="15">
        <v>41086</v>
      </c>
      <c r="B17" s="15" t="s">
        <v>14</v>
      </c>
      <c r="C17" s="81">
        <v>0</v>
      </c>
      <c r="D17" s="81">
        <v>32014.72</v>
      </c>
      <c r="E17" s="81">
        <v>14584.94</v>
      </c>
      <c r="F17" s="81">
        <v>13257.99</v>
      </c>
      <c r="G17" s="81">
        <v>13400.6</v>
      </c>
      <c r="H17" s="80">
        <v>13379</v>
      </c>
      <c r="I17" s="80">
        <v>13397</v>
      </c>
      <c r="J17" s="80">
        <v>15000</v>
      </c>
      <c r="K17" s="80">
        <f t="shared" si="0"/>
        <v>1621</v>
      </c>
      <c r="L17" s="79"/>
      <c r="M17" s="72">
        <f aca="true" t="shared" si="1" ref="M17:M29">SUM(C17:I17)</f>
        <v>100034.25</v>
      </c>
      <c r="N17" s="80"/>
      <c r="O17" s="80">
        <f>90000+J17</f>
        <v>105000</v>
      </c>
      <c r="P17" s="80">
        <f aca="true" t="shared" si="2" ref="P17:P29">O17-M17</f>
        <v>4965.75</v>
      </c>
      <c r="Q17" s="24"/>
      <c r="R17" s="88"/>
      <c r="S17" s="86"/>
      <c r="T17" s="86"/>
      <c r="U17" s="86"/>
      <c r="V17" s="86"/>
      <c r="W17" s="86"/>
      <c r="X17" s="86"/>
    </row>
    <row r="18" spans="1:24" ht="15">
      <c r="A18" s="15">
        <v>41043</v>
      </c>
      <c r="B18" s="15" t="s">
        <v>16</v>
      </c>
      <c r="C18" s="81">
        <v>7961.4</v>
      </c>
      <c r="D18" s="81">
        <v>7750.11</v>
      </c>
      <c r="E18" s="81">
        <v>8072.73</v>
      </c>
      <c r="F18" s="81">
        <v>7807.55</v>
      </c>
      <c r="G18" s="81">
        <v>8095.68</v>
      </c>
      <c r="H18" s="80">
        <v>8547</v>
      </c>
      <c r="I18" s="80"/>
      <c r="J18" s="80"/>
      <c r="K18" s="80">
        <f t="shared" si="0"/>
        <v>-8547</v>
      </c>
      <c r="L18" s="79"/>
      <c r="M18" s="72">
        <f t="shared" si="1"/>
        <v>48234.47</v>
      </c>
      <c r="N18" s="80"/>
      <c r="O18" s="80"/>
      <c r="P18" s="80">
        <f t="shared" si="2"/>
        <v>-48234.47</v>
      </c>
      <c r="Q18" s="24"/>
      <c r="R18" s="88"/>
      <c r="S18" s="86"/>
      <c r="T18" s="86"/>
      <c r="U18" s="86"/>
      <c r="V18" s="86"/>
      <c r="W18" s="86"/>
      <c r="X18" s="86"/>
    </row>
    <row r="19" spans="1:18" ht="15">
      <c r="A19" s="15">
        <v>40830</v>
      </c>
      <c r="B19" s="15" t="s">
        <v>68</v>
      </c>
      <c r="C19" s="77">
        <v>13</v>
      </c>
      <c r="D19" s="77">
        <v>1</v>
      </c>
      <c r="E19" s="77">
        <v>4</v>
      </c>
      <c r="F19" s="81"/>
      <c r="G19" s="81"/>
      <c r="H19" s="80">
        <v>150</v>
      </c>
      <c r="I19" s="72"/>
      <c r="J19" s="80"/>
      <c r="K19" s="80">
        <f t="shared" si="0"/>
        <v>-150</v>
      </c>
      <c r="L19" s="79"/>
      <c r="M19" s="72">
        <f t="shared" si="1"/>
        <v>168</v>
      </c>
      <c r="N19" s="80"/>
      <c r="O19" s="80"/>
      <c r="P19" s="80">
        <f t="shared" si="2"/>
        <v>-168</v>
      </c>
      <c r="Q19" s="24"/>
      <c r="R19" s="21"/>
    </row>
    <row r="20" spans="1:18" ht="15">
      <c r="A20" s="15" t="s">
        <v>69</v>
      </c>
      <c r="B20" s="15" t="s">
        <v>20</v>
      </c>
      <c r="C20" s="81">
        <f>12431.46+18194.11</f>
        <v>30625.57</v>
      </c>
      <c r="D20" s="81">
        <f>6261.15+17029.92</f>
        <v>23291.07</v>
      </c>
      <c r="E20" s="81">
        <f>-3774.03+39619.77</f>
        <v>35845.74</v>
      </c>
      <c r="F20" s="81">
        <f>10042.24+39589.49</f>
        <v>49631.729999999996</v>
      </c>
      <c r="G20" s="81">
        <f>33785.64+37523.89</f>
        <v>71309.53</v>
      </c>
      <c r="H20" s="80">
        <f>26710.73-4304.9</f>
        <v>22405.83</v>
      </c>
      <c r="I20" s="72">
        <f>35004+7536</f>
        <v>42540</v>
      </c>
      <c r="J20" s="80"/>
      <c r="K20" s="80">
        <f t="shared" si="0"/>
        <v>-22405.83</v>
      </c>
      <c r="L20" s="79"/>
      <c r="M20" s="72">
        <f t="shared" si="1"/>
        <v>275649.47</v>
      </c>
      <c r="N20" s="80"/>
      <c r="O20" s="80"/>
      <c r="P20" s="80">
        <f t="shared" si="2"/>
        <v>-275649.47</v>
      </c>
      <c r="Q20" s="24"/>
      <c r="R20" s="21"/>
    </row>
    <row r="21" spans="1:18" ht="15">
      <c r="A21" s="15">
        <v>41600</v>
      </c>
      <c r="B21" s="15" t="s">
        <v>25</v>
      </c>
      <c r="C21" s="77"/>
      <c r="D21" s="77"/>
      <c r="E21" s="77"/>
      <c r="F21" s="81">
        <v>76785.66</v>
      </c>
      <c r="G21" s="77"/>
      <c r="H21" s="77"/>
      <c r="I21" s="72">
        <v>1346</v>
      </c>
      <c r="J21" s="80"/>
      <c r="K21" s="80">
        <f t="shared" si="0"/>
        <v>0</v>
      </c>
      <c r="L21" s="79"/>
      <c r="M21" s="72">
        <f t="shared" si="1"/>
        <v>78131.66</v>
      </c>
      <c r="N21" s="80"/>
      <c r="O21" s="80"/>
      <c r="P21" s="80">
        <f t="shared" si="2"/>
        <v>-78131.66</v>
      </c>
      <c r="Q21" s="24"/>
      <c r="R21" s="21"/>
    </row>
    <row r="22" spans="1:18" ht="15">
      <c r="A22" s="15">
        <v>41601</v>
      </c>
      <c r="B22" s="15" t="s">
        <v>70</v>
      </c>
      <c r="C22" s="81">
        <v>-133331.58</v>
      </c>
      <c r="D22" s="81">
        <v>74124.68</v>
      </c>
      <c r="E22" s="81">
        <v>-44567.77</v>
      </c>
      <c r="F22" s="81">
        <v>-24808.43</v>
      </c>
      <c r="G22" s="81">
        <v>88346.32</v>
      </c>
      <c r="H22" s="80">
        <v>38261</v>
      </c>
      <c r="I22" s="72">
        <v>7311</v>
      </c>
      <c r="J22" s="80"/>
      <c r="K22" s="80">
        <f t="shared" si="0"/>
        <v>-38261</v>
      </c>
      <c r="L22" s="79"/>
      <c r="M22" s="72">
        <f t="shared" si="1"/>
        <v>5335.22000000003</v>
      </c>
      <c r="N22" s="80"/>
      <c r="O22" s="80"/>
      <c r="P22" s="80">
        <f t="shared" si="2"/>
        <v>-5335.22000000003</v>
      </c>
      <c r="Q22" s="24"/>
      <c r="R22" s="21"/>
    </row>
    <row r="23" spans="1:18" ht="15">
      <c r="A23" s="84">
        <v>41576</v>
      </c>
      <c r="B23" s="15" t="s">
        <v>62</v>
      </c>
      <c r="C23" s="76"/>
      <c r="D23" s="76"/>
      <c r="E23" s="76"/>
      <c r="F23" s="76"/>
      <c r="G23" s="76"/>
      <c r="H23" s="80">
        <v>230966</v>
      </c>
      <c r="I23" s="72"/>
      <c r="J23" s="80"/>
      <c r="K23" s="80">
        <f t="shared" si="0"/>
        <v>-230966</v>
      </c>
      <c r="L23" s="79"/>
      <c r="M23" s="72">
        <f t="shared" si="1"/>
        <v>230966</v>
      </c>
      <c r="N23" s="80"/>
      <c r="O23" s="80">
        <v>230966</v>
      </c>
      <c r="P23" s="80">
        <f t="shared" si="2"/>
        <v>0</v>
      </c>
      <c r="Q23" s="3"/>
      <c r="R23" s="21"/>
    </row>
    <row r="24" spans="1:18" ht="15">
      <c r="A24" s="84">
        <v>40832</v>
      </c>
      <c r="B24" s="85" t="s">
        <v>71</v>
      </c>
      <c r="C24" s="81">
        <v>3489.67</v>
      </c>
      <c r="D24" s="81">
        <v>3489.67</v>
      </c>
      <c r="E24" s="81">
        <v>3489.67</v>
      </c>
      <c r="F24" s="81">
        <v>3489.67</v>
      </c>
      <c r="G24" s="81">
        <v>3489.67</v>
      </c>
      <c r="H24" s="81">
        <v>3489.67</v>
      </c>
      <c r="I24" s="81">
        <v>3489.67</v>
      </c>
      <c r="J24" s="80"/>
      <c r="K24" s="80">
        <f t="shared" si="0"/>
        <v>-3489.67</v>
      </c>
      <c r="L24" s="79"/>
      <c r="M24" s="72">
        <f t="shared" si="1"/>
        <v>24427.689999999995</v>
      </c>
      <c r="N24" s="80"/>
      <c r="O24" s="80"/>
      <c r="P24" s="80">
        <f t="shared" si="2"/>
        <v>-24427.689999999995</v>
      </c>
      <c r="Q24" s="3"/>
      <c r="R24" s="21"/>
    </row>
    <row r="25" spans="1:18" ht="15">
      <c r="A25" s="84">
        <v>41027</v>
      </c>
      <c r="B25" s="85" t="s">
        <v>72</v>
      </c>
      <c r="C25" s="81">
        <v>-72000</v>
      </c>
      <c r="D25" s="81">
        <v>0</v>
      </c>
      <c r="E25" s="81">
        <v>33333.34</v>
      </c>
      <c r="F25" s="81">
        <v>16666.67</v>
      </c>
      <c r="G25" s="81">
        <v>16666.67</v>
      </c>
      <c r="H25" s="81">
        <v>33333.34</v>
      </c>
      <c r="I25" s="72">
        <v>16666.67</v>
      </c>
      <c r="J25" s="80">
        <v>16667</v>
      </c>
      <c r="K25" s="80">
        <f t="shared" si="0"/>
        <v>-16666.339999999997</v>
      </c>
      <c r="L25" s="79"/>
      <c r="M25" s="72">
        <f t="shared" si="1"/>
        <v>44666.68999999999</v>
      </c>
      <c r="N25" s="80"/>
      <c r="O25" s="80">
        <f>100000+J25</f>
        <v>116667</v>
      </c>
      <c r="P25" s="80">
        <f t="shared" si="2"/>
        <v>72000.31000000001</v>
      </c>
      <c r="Q25" s="3"/>
      <c r="R25" s="21"/>
    </row>
    <row r="26" spans="1:18" ht="15">
      <c r="A26" s="15">
        <v>41023</v>
      </c>
      <c r="B26" s="85" t="s">
        <v>73</v>
      </c>
      <c r="C26" s="81">
        <v>56692.09</v>
      </c>
      <c r="D26" s="81">
        <v>52004.01</v>
      </c>
      <c r="E26" s="81">
        <v>25950.86</v>
      </c>
      <c r="F26" s="81">
        <v>36834.33</v>
      </c>
      <c r="G26" s="81">
        <v>38154.26</v>
      </c>
      <c r="H26" s="81"/>
      <c r="I26" s="72">
        <v>73575</v>
      </c>
      <c r="J26" s="80"/>
      <c r="K26" s="80">
        <f t="shared" si="0"/>
        <v>0</v>
      </c>
      <c r="L26" s="79"/>
      <c r="M26" s="72">
        <f t="shared" si="1"/>
        <v>283210.55000000005</v>
      </c>
      <c r="N26" s="80"/>
      <c r="O26" s="80"/>
      <c r="P26" s="80">
        <f t="shared" si="2"/>
        <v>-283210.55000000005</v>
      </c>
      <c r="Q26" s="24"/>
      <c r="R26" s="21"/>
    </row>
    <row r="27" spans="1:18" ht="15">
      <c r="A27" s="15">
        <v>41025</v>
      </c>
      <c r="B27" s="15" t="s">
        <v>74</v>
      </c>
      <c r="C27" s="81">
        <v>2563488.53</v>
      </c>
      <c r="D27" s="81">
        <v>17025.92</v>
      </c>
      <c r="E27" s="81">
        <v>0</v>
      </c>
      <c r="F27" s="81">
        <v>19080.63</v>
      </c>
      <c r="G27" s="81">
        <v>1950</v>
      </c>
      <c r="H27" s="81">
        <v>63547</v>
      </c>
      <c r="I27" s="72"/>
      <c r="J27" s="80"/>
      <c r="K27" s="80">
        <f t="shared" si="0"/>
        <v>-63547</v>
      </c>
      <c r="L27" s="79"/>
      <c r="M27" s="72">
        <f t="shared" si="1"/>
        <v>2665092.0799999996</v>
      </c>
      <c r="N27" s="80"/>
      <c r="O27" s="80"/>
      <c r="P27" s="80">
        <f t="shared" si="2"/>
        <v>-2665092.0799999996</v>
      </c>
      <c r="Q27" s="24"/>
      <c r="R27" s="21"/>
    </row>
    <row r="28" spans="1:18" ht="15">
      <c r="A28" s="93">
        <v>41602</v>
      </c>
      <c r="B28" s="94" t="s">
        <v>75</v>
      </c>
      <c r="C28" s="63"/>
      <c r="D28" s="63">
        <v>39759</v>
      </c>
      <c r="E28" s="81"/>
      <c r="F28" s="81"/>
      <c r="G28" s="81"/>
      <c r="H28" s="81"/>
      <c r="I28" s="72"/>
      <c r="J28" s="80"/>
      <c r="K28" s="80"/>
      <c r="L28" s="79"/>
      <c r="M28" s="72"/>
      <c r="N28" s="80"/>
      <c r="O28" s="80"/>
      <c r="P28" s="80"/>
      <c r="Q28" s="24"/>
      <c r="R28" s="21"/>
    </row>
    <row r="29" spans="1:18" ht="15">
      <c r="A29" s="15">
        <v>41022</v>
      </c>
      <c r="B29" s="15" t="s">
        <v>27</v>
      </c>
      <c r="C29" s="81">
        <v>7680</v>
      </c>
      <c r="D29" s="81">
        <v>9270</v>
      </c>
      <c r="E29" s="81">
        <v>306.66</v>
      </c>
      <c r="F29" s="81">
        <v>23140</v>
      </c>
      <c r="G29" s="81">
        <v>9363.25</v>
      </c>
      <c r="H29" s="80">
        <v>8150</v>
      </c>
      <c r="I29" s="80">
        <v>8150</v>
      </c>
      <c r="J29" s="80"/>
      <c r="K29" s="80">
        <f>J29-H29</f>
        <v>-8150</v>
      </c>
      <c r="L29" s="79"/>
      <c r="M29" s="72">
        <f t="shared" si="1"/>
        <v>66059.91</v>
      </c>
      <c r="N29" s="80"/>
      <c r="O29" s="80"/>
      <c r="P29" s="80">
        <f t="shared" si="2"/>
        <v>-66059.91</v>
      </c>
      <c r="Q29" s="24"/>
      <c r="R29" s="21"/>
    </row>
    <row r="30" spans="3:18" ht="15">
      <c r="C30" s="75" t="s">
        <v>28</v>
      </c>
      <c r="D30" s="75" t="s">
        <v>28</v>
      </c>
      <c r="E30" s="75" t="s">
        <v>28</v>
      </c>
      <c r="F30" s="75" t="s">
        <v>28</v>
      </c>
      <c r="G30" s="75" t="s">
        <v>28</v>
      </c>
      <c r="H30" s="75" t="s">
        <v>28</v>
      </c>
      <c r="I30" s="75" t="s">
        <v>28</v>
      </c>
      <c r="J30" s="75" t="s">
        <v>28</v>
      </c>
      <c r="K30" s="75" t="s">
        <v>28</v>
      </c>
      <c r="L30" s="74" t="s">
        <v>28</v>
      </c>
      <c r="M30" s="75" t="s">
        <v>28</v>
      </c>
      <c r="N30" s="80"/>
      <c r="O30" s="75" t="s">
        <v>28</v>
      </c>
      <c r="P30" s="75" t="s">
        <v>28</v>
      </c>
      <c r="Q30" s="25" t="s">
        <v>28</v>
      </c>
      <c r="R30" s="23" t="s">
        <v>28</v>
      </c>
    </row>
    <row r="31" spans="1:18" ht="15">
      <c r="A31" s="16"/>
      <c r="B31" s="17" t="s">
        <v>29</v>
      </c>
      <c r="C31" s="80">
        <f aca="true" t="shared" si="3" ref="C31:I31">SUM(C15:C30)</f>
        <v>6513393.35</v>
      </c>
      <c r="D31" s="80">
        <f t="shared" si="3"/>
        <v>4632930.76</v>
      </c>
      <c r="E31" s="80">
        <f t="shared" si="3"/>
        <v>4509714.720000002</v>
      </c>
      <c r="F31" s="80">
        <f t="shared" si="3"/>
        <v>4480195.470000001</v>
      </c>
      <c r="G31" s="80">
        <f t="shared" si="3"/>
        <v>4823500.92</v>
      </c>
      <c r="H31" s="80">
        <f t="shared" si="3"/>
        <v>5497520.84</v>
      </c>
      <c r="I31" s="80">
        <f t="shared" si="3"/>
        <v>5787761.34</v>
      </c>
      <c r="J31" s="80"/>
      <c r="K31" s="80">
        <f>SUM(K15:K30)</f>
        <v>400687.16000000003</v>
      </c>
      <c r="L31" s="79"/>
      <c r="M31" s="80">
        <f>SUM(M15:M30)</f>
        <v>36205258.4</v>
      </c>
      <c r="N31" s="80">
        <f>SUM(N15:N30)</f>
        <v>0</v>
      </c>
      <c r="O31" s="80"/>
      <c r="P31" s="80">
        <f>SUM(P15:P30)</f>
        <v>-4703034.389999998</v>
      </c>
      <c r="Q31" s="26"/>
      <c r="R31" s="21"/>
    </row>
    <row r="32" spans="1:18" ht="15">
      <c r="A32" s="16"/>
      <c r="B32" s="17"/>
      <c r="C32" s="80"/>
      <c r="D32" s="80"/>
      <c r="E32" s="80"/>
      <c r="F32" s="80"/>
      <c r="G32" s="80"/>
      <c r="H32" s="80"/>
      <c r="I32" s="80"/>
      <c r="J32" s="80"/>
      <c r="K32" s="80"/>
      <c r="L32" s="79"/>
      <c r="M32" s="80"/>
      <c r="N32" s="80"/>
      <c r="O32" s="80"/>
      <c r="P32" s="80"/>
      <c r="Q32" s="26"/>
      <c r="R32" s="21"/>
    </row>
    <row r="33" spans="3:18" ht="15">
      <c r="C33" s="78"/>
      <c r="D33" s="78"/>
      <c r="E33" s="78"/>
      <c r="F33" s="78"/>
      <c r="G33" s="78"/>
      <c r="H33" s="80"/>
      <c r="I33" s="80"/>
      <c r="J33" s="80"/>
      <c r="K33" s="80"/>
      <c r="L33" s="79"/>
      <c r="M33" s="80"/>
      <c r="N33" s="80"/>
      <c r="O33" s="80"/>
      <c r="P33" s="80"/>
      <c r="Q33" s="3"/>
      <c r="R33" s="21"/>
    </row>
    <row r="34" spans="1:18" ht="15.75">
      <c r="A34" s="13"/>
      <c r="B34" s="14" t="s">
        <v>30</v>
      </c>
      <c r="C34" s="73"/>
      <c r="D34" s="73"/>
      <c r="E34" s="73"/>
      <c r="F34" s="73"/>
      <c r="G34" s="73"/>
      <c r="H34" s="80"/>
      <c r="I34" s="80"/>
      <c r="J34" s="80"/>
      <c r="K34" s="80"/>
      <c r="L34" s="79"/>
      <c r="M34" s="80"/>
      <c r="N34" s="80"/>
      <c r="O34" s="80"/>
      <c r="P34" s="80"/>
      <c r="Q34" s="27"/>
      <c r="R34" s="21"/>
    </row>
    <row r="35" spans="3:18" ht="15">
      <c r="C35" s="78"/>
      <c r="D35" s="78"/>
      <c r="E35" s="78"/>
      <c r="F35" s="78"/>
      <c r="G35" s="78"/>
      <c r="H35" s="80"/>
      <c r="I35" s="80"/>
      <c r="J35" s="80"/>
      <c r="K35" s="80"/>
      <c r="L35" s="79"/>
      <c r="M35" s="80"/>
      <c r="N35" s="80"/>
      <c r="O35" s="80"/>
      <c r="P35" s="80"/>
      <c r="Q35" s="3"/>
      <c r="R35" s="21"/>
    </row>
    <row r="36" spans="1:18" ht="15">
      <c r="A36" s="15"/>
      <c r="B36" s="15" t="s">
        <v>32</v>
      </c>
      <c r="C36" s="81">
        <v>2050268</v>
      </c>
      <c r="D36" s="81">
        <v>1955797.97</v>
      </c>
      <c r="E36" s="81">
        <v>2139318.28</v>
      </c>
      <c r="F36" s="81">
        <v>2151391.65</v>
      </c>
      <c r="G36" s="81">
        <v>2322054.87</v>
      </c>
      <c r="H36" s="80">
        <v>2224856.96</v>
      </c>
      <c r="I36" s="80">
        <v>2398053.84</v>
      </c>
      <c r="J36" s="90">
        <v>2561072.96</v>
      </c>
      <c r="K36" s="80">
        <f aca="true" t="shared" si="4" ref="K36:K42">J36-H36</f>
        <v>336216</v>
      </c>
      <c r="L36" s="79"/>
      <c r="M36" s="80">
        <f>SUM(C36:I36)</f>
        <v>15241741.57</v>
      </c>
      <c r="N36" s="80"/>
      <c r="O36" s="80">
        <v>12093340.65</v>
      </c>
      <c r="P36" s="80">
        <f>O36-M36</f>
        <v>-3148400.92</v>
      </c>
      <c r="Q36" s="24"/>
      <c r="R36" s="21"/>
    </row>
    <row r="37" spans="1:18" ht="15">
      <c r="A37" s="15"/>
      <c r="B37" s="15" t="s">
        <v>34</v>
      </c>
      <c r="C37" s="81">
        <v>594591</v>
      </c>
      <c r="D37" s="81">
        <v>651996.1799999999</v>
      </c>
      <c r="E37" s="81">
        <v>607963.34</v>
      </c>
      <c r="F37" s="81">
        <v>635312.6499999999</v>
      </c>
      <c r="G37" s="81">
        <v>974461.2899999999</v>
      </c>
      <c r="H37" s="80">
        <v>752012.44</v>
      </c>
      <c r="I37" s="80">
        <v>1183331.0000000002</v>
      </c>
      <c r="J37" s="90">
        <v>657224.28</v>
      </c>
      <c r="K37" s="80">
        <f t="shared" si="4"/>
        <v>-94788.15999999992</v>
      </c>
      <c r="L37" s="79"/>
      <c r="M37" s="80">
        <f aca="true" t="shared" si="5" ref="M37:M42">SUM(C37:I37)</f>
        <v>5399667.9</v>
      </c>
      <c r="N37" s="80"/>
      <c r="O37" s="80">
        <v>4097022.56</v>
      </c>
      <c r="P37" s="80">
        <f aca="true" t="shared" si="6" ref="P37:P42">O37-M37</f>
        <v>-1302645.3400000003</v>
      </c>
      <c r="Q37" s="24"/>
      <c r="R37" s="21"/>
    </row>
    <row r="38" spans="1:18" ht="15">
      <c r="A38" s="15"/>
      <c r="B38" s="15" t="s">
        <v>36</v>
      </c>
      <c r="C38" s="81">
        <v>655818.32</v>
      </c>
      <c r="D38" s="81">
        <v>955783.02</v>
      </c>
      <c r="E38" s="81">
        <v>1062500.58</v>
      </c>
      <c r="F38" s="81">
        <v>1047807.07</v>
      </c>
      <c r="G38" s="81">
        <v>1534727.3200000003</v>
      </c>
      <c r="H38" s="80">
        <v>560542.57</v>
      </c>
      <c r="I38" s="80">
        <v>696803.28</v>
      </c>
      <c r="J38" s="90">
        <v>804303.2900000003</v>
      </c>
      <c r="K38" s="80">
        <f t="shared" si="4"/>
        <v>243760.72000000032</v>
      </c>
      <c r="L38" s="79"/>
      <c r="M38" s="80">
        <f t="shared" si="5"/>
        <v>6513982.160000001</v>
      </c>
      <c r="N38" s="80"/>
      <c r="O38" s="80">
        <v>5000896.9799999995</v>
      </c>
      <c r="P38" s="80">
        <f t="shared" si="6"/>
        <v>-1513085.1800000016</v>
      </c>
      <c r="Q38" s="24"/>
      <c r="R38" s="21"/>
    </row>
    <row r="39" spans="1:18" ht="15">
      <c r="A39" s="15"/>
      <c r="B39" s="15" t="s">
        <v>38</v>
      </c>
      <c r="C39" s="81">
        <v>631994.7200000001</v>
      </c>
      <c r="D39" s="81">
        <v>711160.11</v>
      </c>
      <c r="E39" s="81">
        <v>720226.7799999999</v>
      </c>
      <c r="F39" s="81">
        <v>715887.75</v>
      </c>
      <c r="G39" s="81">
        <v>711881.32</v>
      </c>
      <c r="H39" s="80">
        <v>757567.92</v>
      </c>
      <c r="I39" s="80">
        <v>657384.3099999999</v>
      </c>
      <c r="J39" s="90">
        <v>713144.7200000001</v>
      </c>
      <c r="K39" s="80">
        <f t="shared" si="4"/>
        <v>-44423.19999999995</v>
      </c>
      <c r="L39" s="79"/>
      <c r="M39" s="80">
        <f t="shared" si="5"/>
        <v>4906102.909999999</v>
      </c>
      <c r="N39" s="80"/>
      <c r="O39" s="80">
        <v>3891620.48</v>
      </c>
      <c r="P39" s="80">
        <f t="shared" si="6"/>
        <v>-1014482.4299999992</v>
      </c>
      <c r="Q39" s="24"/>
      <c r="R39" s="21"/>
    </row>
    <row r="40" spans="1:18" ht="15">
      <c r="A40" s="15"/>
      <c r="B40" s="15" t="s">
        <v>40</v>
      </c>
      <c r="C40" s="81">
        <v>231807.03</v>
      </c>
      <c r="D40" s="81">
        <v>222635.06</v>
      </c>
      <c r="E40" s="81">
        <v>238646.29</v>
      </c>
      <c r="F40" s="81">
        <v>232994.52</v>
      </c>
      <c r="G40" s="81">
        <v>248373.31999999998</v>
      </c>
      <c r="H40" s="80">
        <v>248654.71</v>
      </c>
      <c r="I40" s="80">
        <v>250263.28999999998</v>
      </c>
      <c r="J40" s="90">
        <v>190615.35</v>
      </c>
      <c r="K40" s="80">
        <f t="shared" si="4"/>
        <v>-58039.359999999986</v>
      </c>
      <c r="L40" s="79"/>
      <c r="M40" s="80">
        <f t="shared" si="5"/>
        <v>1673374.22</v>
      </c>
      <c r="N40" s="80"/>
      <c r="O40" s="80">
        <v>1143692.0999999999</v>
      </c>
      <c r="P40" s="80">
        <f t="shared" si="6"/>
        <v>-529682.1200000001</v>
      </c>
      <c r="Q40" s="24"/>
      <c r="R40" s="21"/>
    </row>
    <row r="41" spans="1:18" ht="15">
      <c r="A41" s="15"/>
      <c r="B41" s="15" t="s">
        <v>42</v>
      </c>
      <c r="C41" s="81">
        <v>10379.63</v>
      </c>
      <c r="D41" s="81">
        <v>10182.97</v>
      </c>
      <c r="E41" s="81">
        <v>12224.95</v>
      </c>
      <c r="F41" s="81">
        <v>11882.52</v>
      </c>
      <c r="G41" s="81">
        <v>16163.11</v>
      </c>
      <c r="H41" s="80">
        <v>15792.38</v>
      </c>
      <c r="I41" s="80">
        <v>16225.5</v>
      </c>
      <c r="J41" s="90">
        <v>4800.01</v>
      </c>
      <c r="K41" s="80">
        <f t="shared" si="4"/>
        <v>-10992.369999999999</v>
      </c>
      <c r="L41" s="79"/>
      <c r="M41" s="80">
        <f t="shared" si="5"/>
        <v>92851.06000000001</v>
      </c>
      <c r="N41" s="80"/>
      <c r="O41" s="80">
        <v>43800.06</v>
      </c>
      <c r="P41" s="80">
        <f t="shared" si="6"/>
        <v>-49051.000000000015</v>
      </c>
      <c r="Q41" s="24"/>
      <c r="R41" s="21"/>
    </row>
    <row r="42" spans="1:18" ht="15">
      <c r="A42" s="15"/>
      <c r="B42" s="15" t="s">
        <v>44</v>
      </c>
      <c r="C42" s="81">
        <v>-14602.86</v>
      </c>
      <c r="D42" s="81">
        <v>99055.48</v>
      </c>
      <c r="E42" s="81">
        <v>77727.24</v>
      </c>
      <c r="F42" s="81">
        <v>83649.24</v>
      </c>
      <c r="G42" s="81">
        <v>101517.09</v>
      </c>
      <c r="H42" s="80">
        <v>43452.88</v>
      </c>
      <c r="I42" s="80">
        <v>48281.69</v>
      </c>
      <c r="J42" s="90">
        <v>100125.83</v>
      </c>
      <c r="K42" s="80">
        <f t="shared" si="4"/>
        <v>56672.950000000004</v>
      </c>
      <c r="L42" s="79"/>
      <c r="M42" s="80">
        <f t="shared" si="5"/>
        <v>439080.75999999995</v>
      </c>
      <c r="N42" s="80"/>
      <c r="O42" s="80">
        <v>722590.21</v>
      </c>
      <c r="P42" s="80">
        <f t="shared" si="6"/>
        <v>283509.45</v>
      </c>
      <c r="Q42" s="24"/>
      <c r="R42" s="21"/>
    </row>
    <row r="43" spans="3:18" ht="15">
      <c r="C43" s="75" t="s">
        <v>28</v>
      </c>
      <c r="D43" s="75" t="s">
        <v>28</v>
      </c>
      <c r="E43" s="75" t="s">
        <v>28</v>
      </c>
      <c r="F43" s="75" t="s">
        <v>28</v>
      </c>
      <c r="G43" s="75" t="s">
        <v>28</v>
      </c>
      <c r="H43" s="75" t="s">
        <v>28</v>
      </c>
      <c r="I43" s="75" t="s">
        <v>28</v>
      </c>
      <c r="J43" s="75" t="s">
        <v>28</v>
      </c>
      <c r="K43" s="75" t="s">
        <v>28</v>
      </c>
      <c r="L43" s="74" t="s">
        <v>28</v>
      </c>
      <c r="M43" s="75" t="s">
        <v>28</v>
      </c>
      <c r="N43" s="80"/>
      <c r="O43" s="75" t="s">
        <v>28</v>
      </c>
      <c r="P43" s="75" t="s">
        <v>28</v>
      </c>
      <c r="Q43" s="25" t="s">
        <v>28</v>
      </c>
      <c r="R43" s="23" t="s">
        <v>28</v>
      </c>
    </row>
    <row r="44" spans="1:18" ht="15">
      <c r="A44" s="16"/>
      <c r="B44" s="17" t="s">
        <v>45</v>
      </c>
      <c r="C44" s="80">
        <f aca="true" t="shared" si="7" ref="C44:J44">SUM(C36:C43)</f>
        <v>4160255.84</v>
      </c>
      <c r="D44" s="71">
        <f t="shared" si="7"/>
        <v>4606610.79</v>
      </c>
      <c r="E44" s="71">
        <f t="shared" si="7"/>
        <v>4858607.46</v>
      </c>
      <c r="F44" s="71">
        <f t="shared" si="7"/>
        <v>4878925.3999999985</v>
      </c>
      <c r="G44" s="71">
        <f t="shared" si="7"/>
        <v>5909178.320000001</v>
      </c>
      <c r="H44" s="71">
        <f t="shared" si="7"/>
        <v>4602879.859999999</v>
      </c>
      <c r="I44" s="71">
        <f t="shared" si="7"/>
        <v>5250342.91</v>
      </c>
      <c r="J44" s="71">
        <f t="shared" si="7"/>
        <v>5031286.4399999995</v>
      </c>
      <c r="K44" s="71">
        <f>J44-H44</f>
        <v>428406.5800000001</v>
      </c>
      <c r="L44" s="70"/>
      <c r="M44" s="71">
        <f>SUM(M36:M43)</f>
        <v>34266800.58</v>
      </c>
      <c r="N44" s="71">
        <f>SUM(N36:N43)</f>
        <v>0</v>
      </c>
      <c r="O44" s="71">
        <f>SUM(O36:O43)</f>
        <v>26992963.040000003</v>
      </c>
      <c r="P44" s="71">
        <f>O44-M44</f>
        <v>-7273837.539999995</v>
      </c>
      <c r="Q44" s="69"/>
      <c r="R44" s="21"/>
    </row>
    <row r="45" spans="3:18" ht="15">
      <c r="C45" s="68" t="s">
        <v>28</v>
      </c>
      <c r="D45" s="68" t="s">
        <v>28</v>
      </c>
      <c r="E45" s="68" t="s">
        <v>28</v>
      </c>
      <c r="F45" s="68" t="s">
        <v>28</v>
      </c>
      <c r="G45" s="68" t="s">
        <v>28</v>
      </c>
      <c r="H45" s="68" t="s">
        <v>28</v>
      </c>
      <c r="I45" s="68" t="s">
        <v>28</v>
      </c>
      <c r="J45" s="68" t="s">
        <v>28</v>
      </c>
      <c r="K45" s="68" t="s">
        <v>28</v>
      </c>
      <c r="L45" s="67" t="s">
        <v>28</v>
      </c>
      <c r="M45" s="68" t="s">
        <v>28</v>
      </c>
      <c r="N45" s="71"/>
      <c r="O45" s="68" t="s">
        <v>28</v>
      </c>
      <c r="P45" s="68" t="s">
        <v>28</v>
      </c>
      <c r="Q45" s="66" t="s">
        <v>28</v>
      </c>
      <c r="R45" s="23" t="s">
        <v>28</v>
      </c>
    </row>
    <row r="46" spans="1:18" ht="15.75">
      <c r="A46" s="18"/>
      <c r="B46" s="19" t="s">
        <v>46</v>
      </c>
      <c r="C46" s="81">
        <f aca="true" t="shared" si="8" ref="C46:I46">C31-C44</f>
        <v>2353137.51</v>
      </c>
      <c r="D46" s="81">
        <f t="shared" si="8"/>
        <v>26319.96999999974</v>
      </c>
      <c r="E46" s="81">
        <f t="shared" si="8"/>
        <v>-348892.73999999836</v>
      </c>
      <c r="F46" s="81">
        <f t="shared" si="8"/>
        <v>-398729.92999999784</v>
      </c>
      <c r="G46" s="81">
        <f t="shared" si="8"/>
        <v>-1085677.4000000013</v>
      </c>
      <c r="H46" s="65">
        <f t="shared" si="8"/>
        <v>894640.9800000004</v>
      </c>
      <c r="I46" s="65">
        <f t="shared" si="8"/>
        <v>537418.4299999997</v>
      </c>
      <c r="J46" s="64"/>
      <c r="K46" s="71">
        <f>K31-K44</f>
        <v>-27719.420000000042</v>
      </c>
      <c r="L46" s="71"/>
      <c r="M46" s="71">
        <f>M31-M44</f>
        <v>1938457.8200000003</v>
      </c>
      <c r="N46" s="71">
        <f>N31-N44</f>
        <v>0</v>
      </c>
      <c r="O46" s="71"/>
      <c r="P46" s="71">
        <f>P31-P44</f>
        <v>2570803.1499999976</v>
      </c>
      <c r="Q46" s="69"/>
      <c r="R46" s="22"/>
    </row>
    <row r="47" spans="3:18" ht="15">
      <c r="C47" s="62" t="s">
        <v>47</v>
      </c>
      <c r="D47" s="62" t="s">
        <v>47</v>
      </c>
      <c r="E47" s="62" t="s">
        <v>47</v>
      </c>
      <c r="F47" s="62" t="s">
        <v>47</v>
      </c>
      <c r="G47" s="62" t="s">
        <v>47</v>
      </c>
      <c r="H47" s="62" t="s">
        <v>47</v>
      </c>
      <c r="I47" s="62" t="s">
        <v>47</v>
      </c>
      <c r="J47" s="23" t="s">
        <v>47</v>
      </c>
      <c r="K47" s="23" t="s">
        <v>47</v>
      </c>
      <c r="L47" s="25" t="s">
        <v>47</v>
      </c>
      <c r="M47" s="23" t="s">
        <v>47</v>
      </c>
      <c r="N47" s="21"/>
      <c r="O47" s="23" t="s">
        <v>47</v>
      </c>
      <c r="P47" s="23" t="s">
        <v>47</v>
      </c>
      <c r="Q47" s="25" t="s">
        <v>47</v>
      </c>
      <c r="R47" s="23" t="s">
        <v>47</v>
      </c>
    </row>
    <row r="48" spans="8:18" ht="15">
      <c r="H48" s="21"/>
      <c r="I48" s="21"/>
      <c r="J48" s="21"/>
      <c r="K48" s="21"/>
      <c r="L48" s="3"/>
      <c r="M48" s="21"/>
      <c r="N48" s="21"/>
      <c r="O48" s="21"/>
      <c r="P48" s="21"/>
      <c r="Q48" s="3"/>
      <c r="R48" s="21"/>
    </row>
    <row r="49" spans="8:18" ht="15">
      <c r="H49" s="21"/>
      <c r="I49" s="21"/>
      <c r="J49" s="21"/>
      <c r="K49" s="21"/>
      <c r="L49" s="3"/>
      <c r="M49" s="21"/>
      <c r="N49" s="21"/>
      <c r="O49" s="21"/>
      <c r="P49" s="21"/>
      <c r="Q49" s="3"/>
      <c r="R49" s="21"/>
    </row>
    <row r="50" spans="8:18" ht="15">
      <c r="H50" s="21"/>
      <c r="I50" s="21"/>
      <c r="J50" s="21"/>
      <c r="K50" s="21"/>
      <c r="L50" s="3"/>
      <c r="M50" s="21"/>
      <c r="N50" s="21"/>
      <c r="O50" s="21"/>
      <c r="P50" s="21"/>
      <c r="Q50" s="3"/>
      <c r="R50" s="21"/>
    </row>
    <row r="51" spans="8:18" ht="15">
      <c r="H51" s="21"/>
      <c r="I51" s="21"/>
      <c r="J51" s="21"/>
      <c r="K51" s="21"/>
      <c r="L51" s="3"/>
      <c r="M51" s="21"/>
      <c r="N51" s="21"/>
      <c r="O51" s="21"/>
      <c r="P51" s="21"/>
      <c r="Q51" s="3"/>
      <c r="R51" s="21"/>
    </row>
    <row r="52" spans="8:18" ht="15">
      <c r="H52" s="21"/>
      <c r="I52" s="21"/>
      <c r="J52" s="21"/>
      <c r="K52" s="21"/>
      <c r="L52" s="3"/>
      <c r="M52" s="21"/>
      <c r="N52" s="21"/>
      <c r="O52" s="21"/>
      <c r="P52" s="21"/>
      <c r="Q52" s="3"/>
      <c r="R52" s="21"/>
    </row>
    <row r="53" spans="8:18" ht="15">
      <c r="H53" s="21"/>
      <c r="I53" s="21"/>
      <c r="J53" s="21"/>
      <c r="K53" s="21"/>
      <c r="L53" s="3"/>
      <c r="M53" s="21"/>
      <c r="N53" s="21"/>
      <c r="O53" s="21"/>
      <c r="P53" s="21"/>
      <c r="Q53" s="3"/>
      <c r="R53" s="21"/>
    </row>
    <row r="54" spans="1:18" ht="15">
      <c r="A54" s="20" t="s">
        <v>48</v>
      </c>
      <c r="H54" s="21"/>
      <c r="I54" s="21"/>
      <c r="J54" s="21"/>
      <c r="K54" s="21"/>
      <c r="L54" s="3"/>
      <c r="M54" s="21"/>
      <c r="N54" s="21"/>
      <c r="O54" s="21"/>
      <c r="P54" s="21"/>
      <c r="Q54" s="3"/>
      <c r="R54" s="28"/>
    </row>
    <row r="55" ht="13.5" thickBot="1">
      <c r="A55" t="s">
        <v>58</v>
      </c>
    </row>
    <row r="56" spans="1:13" ht="12.75">
      <c r="A56" s="30" t="s">
        <v>49</v>
      </c>
      <c r="B56" s="31"/>
      <c r="C56" s="31"/>
      <c r="D56" s="31"/>
      <c r="E56" s="31"/>
      <c r="F56" s="31"/>
      <c r="G56" s="31"/>
      <c r="H56" s="31"/>
      <c r="I56" s="32">
        <f>I31</f>
        <v>5787761.34</v>
      </c>
      <c r="J56" s="31"/>
      <c r="K56" s="31"/>
      <c r="L56" s="31"/>
      <c r="M56" s="33">
        <f>M31</f>
        <v>36205258.4</v>
      </c>
    </row>
    <row r="57" spans="1:13" ht="12.75">
      <c r="A57" s="91" t="s">
        <v>83</v>
      </c>
      <c r="B57" s="35"/>
      <c r="C57" s="35"/>
      <c r="D57" s="35"/>
      <c r="E57" s="35"/>
      <c r="F57" s="35"/>
      <c r="G57" s="35"/>
      <c r="H57" s="35"/>
      <c r="I57" s="36"/>
      <c r="J57" s="37"/>
      <c r="K57" s="35"/>
      <c r="L57" s="35"/>
      <c r="M57" s="38"/>
    </row>
    <row r="58" spans="1:13" ht="14.25">
      <c r="A58" s="39" t="s">
        <v>84</v>
      </c>
      <c r="B58" s="40"/>
      <c r="C58" s="40"/>
      <c r="D58" s="40"/>
      <c r="E58" s="40"/>
      <c r="F58" s="40"/>
      <c r="G58" s="40"/>
      <c r="H58" s="40"/>
      <c r="I58" s="41">
        <f>SUM(I56:I56)</f>
        <v>5787761.34</v>
      </c>
      <c r="J58" s="37"/>
      <c r="K58" s="40"/>
      <c r="L58" s="40"/>
      <c r="M58" s="42">
        <f>SUM(M56:M57)</f>
        <v>36205258.4</v>
      </c>
    </row>
    <row r="59" spans="1:13" ht="12.75">
      <c r="A59" s="43"/>
      <c r="B59" s="37"/>
      <c r="C59" s="37"/>
      <c r="D59" s="37"/>
      <c r="E59" s="37"/>
      <c r="F59" s="37"/>
      <c r="G59" s="37"/>
      <c r="H59" s="37"/>
      <c r="I59" s="37"/>
      <c r="J59" s="44"/>
      <c r="K59" s="37"/>
      <c r="L59" s="37"/>
      <c r="M59" s="45"/>
    </row>
    <row r="60" spans="1:13" ht="12.75">
      <c r="A60" s="43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45"/>
    </row>
    <row r="61" spans="1:13" ht="12.75">
      <c r="A61" s="43"/>
      <c r="B61" s="37"/>
      <c r="C61" s="37"/>
      <c r="D61" s="37"/>
      <c r="E61" s="37"/>
      <c r="F61" s="37"/>
      <c r="G61" s="37"/>
      <c r="H61" s="37"/>
      <c r="I61" s="44"/>
      <c r="J61" s="37"/>
      <c r="K61" s="37"/>
      <c r="L61" s="37"/>
      <c r="M61" s="45"/>
    </row>
    <row r="62" spans="1:13" ht="12.75">
      <c r="A62" s="43" t="s">
        <v>52</v>
      </c>
      <c r="B62" s="37"/>
      <c r="C62" s="37"/>
      <c r="D62" s="37"/>
      <c r="E62" s="37"/>
      <c r="F62" s="37"/>
      <c r="G62" s="37"/>
      <c r="H62" s="37"/>
      <c r="I62" s="44">
        <f>I44</f>
        <v>5250342.91</v>
      </c>
      <c r="J62" s="47"/>
      <c r="K62" s="37"/>
      <c r="L62" s="37"/>
      <c r="M62" s="38">
        <f>M44</f>
        <v>34266800.58</v>
      </c>
    </row>
    <row r="63" spans="1:13" ht="12.75">
      <c r="A63" s="34" t="s">
        <v>53</v>
      </c>
      <c r="B63" s="35"/>
      <c r="C63" s="35"/>
      <c r="D63" s="35"/>
      <c r="E63" s="35"/>
      <c r="F63" s="35"/>
      <c r="G63" s="35"/>
      <c r="H63" s="35"/>
      <c r="I63" s="44">
        <v>-250263</v>
      </c>
      <c r="J63" s="47"/>
      <c r="K63" s="35"/>
      <c r="L63" s="35"/>
      <c r="M63" s="46">
        <f>M40*-1</f>
        <v>-1673374.22</v>
      </c>
    </row>
    <row r="64" spans="1:13" ht="12.75">
      <c r="A64" s="34" t="s">
        <v>54</v>
      </c>
      <c r="B64" s="35"/>
      <c r="C64" s="35"/>
      <c r="D64" s="35"/>
      <c r="E64" s="35"/>
      <c r="F64" s="35"/>
      <c r="G64" s="35"/>
      <c r="H64" s="35"/>
      <c r="I64" s="48">
        <v>466800</v>
      </c>
      <c r="J64" s="48"/>
      <c r="K64" s="35"/>
      <c r="L64" s="35"/>
      <c r="M64" s="38">
        <f>2642811.35+I64</f>
        <v>3109611.35</v>
      </c>
    </row>
    <row r="65" spans="1:13" ht="12.75">
      <c r="A65" s="39" t="s">
        <v>55</v>
      </c>
      <c r="B65" s="40"/>
      <c r="C65" s="40"/>
      <c r="D65" s="40"/>
      <c r="E65" s="40"/>
      <c r="F65" s="40"/>
      <c r="G65" s="40"/>
      <c r="H65" s="40"/>
      <c r="I65" s="49">
        <f>SUM(I62:I64)</f>
        <v>5466879.91</v>
      </c>
      <c r="J65" s="47"/>
      <c r="K65" s="40"/>
      <c r="L65" s="40"/>
      <c r="M65" s="50">
        <f>SUM(M62:M64)</f>
        <v>35703037.71</v>
      </c>
    </row>
    <row r="66" spans="1:13" ht="12.75">
      <c r="A66" s="43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45"/>
    </row>
    <row r="67" spans="1:13" ht="12.75" customHeight="1">
      <c r="A67" s="92"/>
      <c r="B67" s="29"/>
      <c r="C67" s="29"/>
      <c r="D67" s="29"/>
      <c r="E67" s="29"/>
      <c r="F67" s="29"/>
      <c r="G67" s="29"/>
      <c r="H67" s="29"/>
      <c r="I67" s="37"/>
      <c r="J67" s="37"/>
      <c r="K67" s="29"/>
      <c r="L67" s="29"/>
      <c r="M67" s="45"/>
    </row>
    <row r="68" spans="1:23" s="1" customFormat="1" ht="13.5" thickBot="1">
      <c r="A68" s="43" t="s">
        <v>57</v>
      </c>
      <c r="B68" s="37"/>
      <c r="C68" s="37"/>
      <c r="D68" s="37"/>
      <c r="E68" s="37"/>
      <c r="F68" s="37"/>
      <c r="G68" s="37"/>
      <c r="H68" s="37"/>
      <c r="I68" s="51">
        <f>I58-I65</f>
        <v>320881.4299999997</v>
      </c>
      <c r="J68" s="37"/>
      <c r="K68" s="37"/>
      <c r="L68" s="37"/>
      <c r="M68" s="52">
        <f>M58-M65</f>
        <v>502220.6899999976</v>
      </c>
      <c r="Q68" s="2"/>
      <c r="S68"/>
      <c r="T68"/>
      <c r="U68"/>
      <c r="V68"/>
      <c r="W68"/>
    </row>
    <row r="69" spans="1:23" s="1" customFormat="1" ht="13.5" thickTop="1">
      <c r="A69" s="43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45"/>
      <c r="Q69" s="2"/>
      <c r="S69"/>
      <c r="T69"/>
      <c r="U69"/>
      <c r="V69"/>
      <c r="W69"/>
    </row>
    <row r="70" spans="1:23" s="1" customFormat="1" ht="13.5" thickBot="1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5"/>
      <c r="Q70" s="2"/>
      <c r="S70"/>
      <c r="T70"/>
      <c r="U70"/>
      <c r="V70"/>
      <c r="W70"/>
    </row>
    <row r="73" spans="1:23" s="1" customFormat="1" ht="14.25">
      <c r="A73" s="95"/>
      <c r="B73" s="96" t="s">
        <v>85</v>
      </c>
      <c r="C73"/>
      <c r="D73"/>
      <c r="E73"/>
      <c r="F73"/>
      <c r="G73"/>
      <c r="L73" s="2"/>
      <c r="Q73" s="2"/>
      <c r="S73"/>
      <c r="T73"/>
      <c r="U73"/>
      <c r="V73"/>
      <c r="W73"/>
    </row>
    <row r="74" spans="1:23" s="1" customFormat="1" ht="12.75">
      <c r="A74"/>
      <c r="B74" s="15"/>
      <c r="C74"/>
      <c r="D74"/>
      <c r="E74"/>
      <c r="F74"/>
      <c r="G74"/>
      <c r="L74" s="2"/>
      <c r="Q74" s="2"/>
      <c r="S74"/>
      <c r="T74"/>
      <c r="U74"/>
      <c r="V74"/>
      <c r="W74"/>
    </row>
  </sheetData>
  <sheetProtection/>
  <mergeCells count="3">
    <mergeCell ref="A1:R1"/>
    <mergeCell ref="A2:R2"/>
    <mergeCell ref="A3:R3"/>
  </mergeCells>
  <printOptions/>
  <pageMargins left="0.5" right="0.5" top="0.75" bottom="0.75" header="0.5" footer="0.5"/>
  <pageSetup fitToHeight="1" fitToWidth="1" horizontalDpi="600" verticalDpi="600" orientation="portrait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ksalter</dc:creator>
  <cp:keywords/>
  <dc:description/>
  <cp:lastModifiedBy>Cueto, Cleo B</cp:lastModifiedBy>
  <cp:lastPrinted>2017-01-10T16:45:56Z</cp:lastPrinted>
  <dcterms:created xsi:type="dcterms:W3CDTF">2012-02-10T16:19:51Z</dcterms:created>
  <dcterms:modified xsi:type="dcterms:W3CDTF">2017-01-26T21:06:25Z</dcterms:modified>
  <cp:category/>
  <cp:version/>
  <cp:contentType/>
  <cp:contentStatus/>
</cp:coreProperties>
</file>